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SETS DES-1 Indicadores" sheetId="1" r:id="rId4"/>
  </sheets>
  <externalReferences>
    <externalReference r:id="rId5"/>
  </externalReferences>
  <definedNames>
    <definedName name="Hidden_114">[1]Hidden_1!$A$1:$A$2</definedName>
  </definedNames>
  <calcPr/>
  <extLst>
    <ext uri="GoogleSheetsCustomDataVersion2">
      <go:sheetsCustomData xmlns:go="http://customooxmlschemas.google.com/" r:id="rId6" roundtripDataChecksum="920My3LZPW39HnASiEgYo6oDTSmbAB1+C8Udm+4K38M="/>
    </ext>
  </extLst>
</workbook>
</file>

<file path=xl/sharedStrings.xml><?xml version="1.0" encoding="utf-8"?>
<sst xmlns="http://schemas.openxmlformats.org/spreadsheetml/2006/main" count="2163" uniqueCount="884">
  <si>
    <t>Ejercicio</t>
  </si>
  <si>
    <t>Periodo</t>
  </si>
  <si>
    <t>Eje del PMD</t>
  </si>
  <si>
    <t>Nombre del Programa derivado del Plan Municipal de Desarrollo</t>
  </si>
  <si>
    <t>Nombre del indicador</t>
  </si>
  <si>
    <t>Unidad de medida</t>
  </si>
  <si>
    <t>Línea base</t>
  </si>
  <si>
    <t>Metas programadas</t>
  </si>
  <si>
    <t>Avance de metas</t>
  </si>
  <si>
    <t>Área responsable de la información</t>
  </si>
  <si>
    <t>1er trimestre</t>
  </si>
  <si>
    <t>Eje 1. Pachuca honesta, cercana y moderna</t>
  </si>
  <si>
    <t>Presidir, Supervisar y Conducir la Administración Pública Municipal.</t>
  </si>
  <si>
    <t>Porcentaje de reuniones de coordinación para la generación de políticas públicas realizadas.</t>
  </si>
  <si>
    <t>Reuniones de Coordinación</t>
  </si>
  <si>
    <t>Unidades de Apoyo de la o el Presidente Municipal.</t>
  </si>
  <si>
    <t>Coordinación y/o Supervisión de las Giras y Logística en las Actividades en las que Participa la o el  C. Presidente Municipal Constitucional</t>
  </si>
  <si>
    <t xml:space="preserve">Porcentaje de eventos realizados </t>
  </si>
  <si>
    <t xml:space="preserve">Eventos </t>
  </si>
  <si>
    <t>Dirección de Giras y Logística.</t>
  </si>
  <si>
    <t>Atención Ciudadana 070.</t>
  </si>
  <si>
    <t>Porcentaje de solicitudes canalizadas.</t>
  </si>
  <si>
    <t>Solicitudes canalizadas</t>
  </si>
  <si>
    <t>Atención, Orientación y Canalización Ciudadana.</t>
  </si>
  <si>
    <t>Porcentaje de peticiones canalizadas.</t>
  </si>
  <si>
    <t>Peticiones canalizadas</t>
  </si>
  <si>
    <t>Secretaría Particular.</t>
  </si>
  <si>
    <t>Fortalecimiento de Relaciones entre la Presidente Municipal con los Ciudadanos y el Personal del Ayuntamiento.</t>
  </si>
  <si>
    <t>Porcentaje de eventos organizados y atendidos.</t>
  </si>
  <si>
    <t>Eventos organizados y atendidos</t>
  </si>
  <si>
    <t>Dirección de Relaciones Públicas.</t>
  </si>
  <si>
    <t>Eje 3. Pachuca con bienestar social, humana, igualitaria y con valores</t>
  </si>
  <si>
    <t>Erradicación del embarazo en niñas de 10 a 14 años y prevención del embarazo en adolescentes</t>
  </si>
  <si>
    <t>Porcentaje de talleres, pláticas y publicidad para el acompañamiento a niñas y adolescentes madres y/o embarazadas impartidos</t>
  </si>
  <si>
    <t>Talleres impartidos</t>
  </si>
  <si>
    <t>Secretaría Ejecutiva del Sistema Municipal de Protección Integral de Niñas, Niños y Adolescentes.</t>
  </si>
  <si>
    <t>Porcentaje de campañas de promoción de derechos sexuales y reproductivos de niñas y adolescentes realizadas</t>
  </si>
  <si>
    <t>Campañas realizadas</t>
  </si>
  <si>
    <t>Diagnóstico de la situación actual de niñas, niños y adolescentes</t>
  </si>
  <si>
    <t>Porcentaje de comité de participación creado</t>
  </si>
  <si>
    <t>comité de participación creado</t>
  </si>
  <si>
    <t>Porcentaje de sistemas de información alimentados</t>
  </si>
  <si>
    <t>Sistemas de información alimentados</t>
  </si>
  <si>
    <t>Porcentaje de Comisiones y mesas de trabajo celebradas</t>
  </si>
  <si>
    <t xml:space="preserve"> Comisiones y mesas de trabajo celebradas</t>
  </si>
  <si>
    <t>Brindar herramientas Enfocadas a promover la participación de niñas, niños y adolescentes del municipio</t>
  </si>
  <si>
    <t>Porcentaje de pláticas impartidas con participación de niñas, niños y adolescentes realizadas</t>
  </si>
  <si>
    <t xml:space="preserve"> Pláticas impartidas</t>
  </si>
  <si>
    <t>Porcentaje Participaciones de niñas, niños y adolescentes en las instituciones</t>
  </si>
  <si>
    <t>Participación en las instituciones</t>
  </si>
  <si>
    <t>Coordinación de la Secretaría de Desarrollo Económico.</t>
  </si>
  <si>
    <t>Porcentaje de actividades coordinadas.</t>
  </si>
  <si>
    <t>Actividad coordinada</t>
  </si>
  <si>
    <t>Secretaría de Desarrollo Económico.</t>
  </si>
  <si>
    <t>Porcentaje de acciones realizadas</t>
  </si>
  <si>
    <t>Acción  realizada</t>
  </si>
  <si>
    <t>Eje 2. Pachuca próspera y con dinamismo económico</t>
  </si>
  <si>
    <t>Renovación de Licencias de Funcionamiento de Establecimientos Mercantiles</t>
  </si>
  <si>
    <t>Porcentaje de asesorías para la renovación de licencias de funcionamiento otorgadas</t>
  </si>
  <si>
    <t>Asesorías</t>
  </si>
  <si>
    <t>Dirección de Desarrollo Económico.</t>
  </si>
  <si>
    <t>Porcentaje de solicitudes de renovación de licencias de funcionamiento atendidas</t>
  </si>
  <si>
    <t>Solicitudes de renovación</t>
  </si>
  <si>
    <t>Porcentaje de renovaciones de licencia de funcionamiento otorgadas</t>
  </si>
  <si>
    <t>Renovaciones</t>
  </si>
  <si>
    <t>Consume Pachuca</t>
  </si>
  <si>
    <t xml:space="preserve">Porcentaje de acciones para el impulso del consumo local ejecutadas </t>
  </si>
  <si>
    <t xml:space="preserve">Acciones para el impulso del consumo local </t>
  </si>
  <si>
    <t>Porcentaje de herramientas para la transformación digital e innovación generadas</t>
  </si>
  <si>
    <t>Herramientas para la transformación digital e innovación</t>
  </si>
  <si>
    <t xml:space="preserve">Porcentaje de actividades para el fomento de la cultura empresarial realizadas </t>
  </si>
  <si>
    <t xml:space="preserve">Actividades para el fomento de la cultura empresarial </t>
  </si>
  <si>
    <t>Bolsa de empleo Pachuca</t>
  </si>
  <si>
    <t>Porcentaje de atenciones a empresas ofertantes otorgadas</t>
  </si>
  <si>
    <t>Atenciones a empresas  otorgadas</t>
  </si>
  <si>
    <t>Porcentaje de asesorías a buscadores de empleo realizadas</t>
  </si>
  <si>
    <t xml:space="preserve"> Asesorías a buscadores de empleo realizadas</t>
  </si>
  <si>
    <t>Porcentaje de eventos de empleo efectuados</t>
  </si>
  <si>
    <t>Eventos de empleo efectuados</t>
  </si>
  <si>
    <t>Certificación de Competencias Laborales</t>
  </si>
  <si>
    <t>Porcentaje de personas con competencias laborales capacitadas</t>
  </si>
  <si>
    <t>Personas capacitadas</t>
  </si>
  <si>
    <t>Porcentaje de evaluaciones de competencias laborales realizadas</t>
  </si>
  <si>
    <t>Evaluaciones realizadas</t>
  </si>
  <si>
    <t>Porcentaje de certificados generados</t>
  </si>
  <si>
    <t>Certificados Generados</t>
  </si>
  <si>
    <t>Porcentaje de acciones de fortalecimiento realizadas</t>
  </si>
  <si>
    <t>Acciones de fortalecimiento realizadas</t>
  </si>
  <si>
    <t>Porcentaje de actividades para el desarrollo realizadas</t>
  </si>
  <si>
    <t>Actividades de desarrollo realizadas</t>
  </si>
  <si>
    <t>Promoción y difusión y operación turística.</t>
  </si>
  <si>
    <t>Porcentaje de ingresos por recorridos turísticos y venta de artesanías obtenidos</t>
  </si>
  <si>
    <t>Ingresos obtenidos</t>
  </si>
  <si>
    <t>$107,000.00</t>
  </si>
  <si>
    <t>Dirección de Turismo.</t>
  </si>
  <si>
    <t>Porcentaje de alcances de promociones y difusiones turísticas efectuadas</t>
  </si>
  <si>
    <t>Alcances de promociones y difusiones turísticas efectuadas</t>
  </si>
  <si>
    <t>Porcentaje de programas de promoción turística realizados</t>
  </si>
  <si>
    <t>programas de promoción turística realizados</t>
  </si>
  <si>
    <t>Operativos Turísticos en Temporadas Vacacionales</t>
  </si>
  <si>
    <t>Porcentaje de personas atendidas en los módulos de orientación turística durante temporadas vacacionales</t>
  </si>
  <si>
    <t>Personas atendidas</t>
  </si>
  <si>
    <t>Porcentaje de prestadores de servicios turísticos y personal de primer contacto  capacitados</t>
  </si>
  <si>
    <t>Porcentaje de prestadores de servicios turísticos certificados</t>
  </si>
  <si>
    <t>Personas certificadas</t>
  </si>
  <si>
    <t>Participación en ferias</t>
  </si>
  <si>
    <t>Porcentaje de espectaculos, servicios y actividades turísticas realizadas</t>
  </si>
  <si>
    <t>espectáculos, servicios y actividades turísticas realizadas</t>
  </si>
  <si>
    <t>Porcentaje de artesanos instalados en pabellón</t>
  </si>
  <si>
    <t>Artesanos instalados</t>
  </si>
  <si>
    <t>Porcentaje de visitantes atendidos en stand</t>
  </si>
  <si>
    <t>Visitantes atendidos</t>
  </si>
  <si>
    <t>Porcentaje de stands instalados en ferias nacionales</t>
  </si>
  <si>
    <t>Stands instalados</t>
  </si>
  <si>
    <t>Porcentaje de stands instalados en ferias internacionales</t>
  </si>
  <si>
    <t>Museo virtual Pachuca</t>
  </si>
  <si>
    <t>Porcentaje de contenidos relacionados con el patrimonio artístico y cultural realizados</t>
  </si>
  <si>
    <t>Contenidos realizados</t>
  </si>
  <si>
    <t>Porcentaje de actividades lúdicas realizadas</t>
  </si>
  <si>
    <t xml:space="preserve"> Actividades lúdicas realizadas</t>
  </si>
  <si>
    <t>Porcentaje de exposiciones y actividades culturales realizadas</t>
  </si>
  <si>
    <t>Exposiciones y actividades culturales realizadas</t>
  </si>
  <si>
    <t>Porcentaje de nuevos visitantes en redes sociales y sitio web.</t>
  </si>
  <si>
    <t>Nuevos visitantes</t>
  </si>
  <si>
    <t>Mejora regulatoria</t>
  </si>
  <si>
    <t>Porcentaje de diagnósticos de trámites y servicios realizados</t>
  </si>
  <si>
    <t>diagnósticos de trámites y servicios realizados</t>
  </si>
  <si>
    <t>Dirección de Mejora Regulatoria</t>
  </si>
  <si>
    <t>Porcentaje de propuestas de reforma a trámites y servicios presentadas</t>
  </si>
  <si>
    <t>propuestas de reforma a trámites y servicios presentadas</t>
  </si>
  <si>
    <t>Porcentaje de trámites y servicios digitalizados</t>
  </si>
  <si>
    <t xml:space="preserve"> Trámites y servicios digitalizados</t>
  </si>
  <si>
    <t>Porcentaje de Seguimientos a trámites y servicios realizados</t>
  </si>
  <si>
    <t>Seguimientos a trámites y servicios realizados</t>
  </si>
  <si>
    <t>Apertura de Licencias de Funcionamiento de Establecimientos Mercantiles</t>
  </si>
  <si>
    <t>Porcentaje de asesorías para la Apertura de Licencias de Funcionamiento  otorgadas</t>
  </si>
  <si>
    <t>Asesorías otorgadas</t>
  </si>
  <si>
    <t>Porcentaje de solicitudes de Apertura de Licencias de Funcionamiento atendidas</t>
  </si>
  <si>
    <t>Solicitudes atendidas</t>
  </si>
  <si>
    <t>Porcentaje de Licencias de Funcionamiento de aperturas emitidas</t>
  </si>
  <si>
    <t>Licencias emitidas</t>
  </si>
  <si>
    <t>Coordinación de la Secretaría de Administración.</t>
  </si>
  <si>
    <t>Porcentaje de turnos atendidos</t>
  </si>
  <si>
    <t>Turnos atendidos</t>
  </si>
  <si>
    <t>Secretaría de Administración.</t>
  </si>
  <si>
    <t>Servicios Generales</t>
  </si>
  <si>
    <t>Porcentaje de ordenes de servicios de mantenimiento oportunamente atendidos.</t>
  </si>
  <si>
    <t>Órdenes de servicio</t>
  </si>
  <si>
    <t>Dirección de Servicios Generales.</t>
  </si>
  <si>
    <t>Control y Gestión de Servicios</t>
  </si>
  <si>
    <t>Porcentaje de órdenes de suministros atendidas.</t>
  </si>
  <si>
    <t>Órdenes de Suministro</t>
  </si>
  <si>
    <t>Porcentaje de servicios pagados.</t>
  </si>
  <si>
    <t>Servicios pagados</t>
  </si>
  <si>
    <t>Porcentaje de arrendamientos pagados.</t>
  </si>
  <si>
    <t>Arrendamientos pagados</t>
  </si>
  <si>
    <t>Activo Fijo</t>
  </si>
  <si>
    <t>Porcentaje de actualizaciones de activos realizadas.</t>
  </si>
  <si>
    <t>Actualización de activos</t>
  </si>
  <si>
    <t>Control Vehicular</t>
  </si>
  <si>
    <t>Porcentajes de órdenes de mantenimiento y servicio realizadas.</t>
  </si>
  <si>
    <t>Ordenes de mantenimiento y servicio realizadas</t>
  </si>
  <si>
    <t>Mantenimiento de las TIC´s.</t>
  </si>
  <si>
    <t>Porcentaje de mantenimiento preventivo realizado.</t>
  </si>
  <si>
    <t>Mantenimiento preventivo</t>
  </si>
  <si>
    <t>Dirección de Informática.</t>
  </si>
  <si>
    <t>Porcentaje de mantenimiento correctivo realizado.</t>
  </si>
  <si>
    <t>Mantenimiento correctivo</t>
  </si>
  <si>
    <t>Contratación de bienes, servicios, arrendamientos y obra pública</t>
  </si>
  <si>
    <t>Porcentaje de solicitudes de contratación recibidas</t>
  </si>
  <si>
    <t>Solicitudes de contratación recibidas</t>
  </si>
  <si>
    <t>Dirección de Compras y Suministros.</t>
  </si>
  <si>
    <t>Porcentaje de procedimientos de contratación realizados</t>
  </si>
  <si>
    <t>Procedimientos de contratación realizados</t>
  </si>
  <si>
    <t>Porcentaje de notas de remisión validadas</t>
  </si>
  <si>
    <t>Notas de remisión validadas</t>
  </si>
  <si>
    <t>Recursos Humanos</t>
  </si>
  <si>
    <t>Porcentaje de servidores públicos capacitados</t>
  </si>
  <si>
    <t>Servidores públicos capacitados</t>
  </si>
  <si>
    <t>Dirección de Recursos Humanos.</t>
  </si>
  <si>
    <t>Porcentaje de exámenes aprobados</t>
  </si>
  <si>
    <t>Exámenes aprobados</t>
  </si>
  <si>
    <t>Porcentaje de plazas presupuestales pagadas</t>
  </si>
  <si>
    <t>Plazas presupuestales pagadas</t>
  </si>
  <si>
    <t>Sindicato</t>
  </si>
  <si>
    <t>Porcentaje de atención a beneficiarios en consulta externa otorgada</t>
  </si>
  <si>
    <t>Apoyos otorgados</t>
  </si>
  <si>
    <t>Porcentaje de apoyos económicos y en especie entregados</t>
  </si>
  <si>
    <t>Apoyos entregados</t>
  </si>
  <si>
    <t xml:space="preserve">Jubilados </t>
  </si>
  <si>
    <t>Porcentaje de prestaciones otorgadas.</t>
  </si>
  <si>
    <t>Prestaciones otorgadas</t>
  </si>
  <si>
    <t>Jubilados y Pensionados</t>
  </si>
  <si>
    <t>Coordinación de la Secretaría de Contraloría y Transparencia.</t>
  </si>
  <si>
    <t>Porcentaje de reuniones efectuadas.</t>
  </si>
  <si>
    <t>Reuniones efectuadas</t>
  </si>
  <si>
    <t>Secretaría de Contraloría y Transparencia.</t>
  </si>
  <si>
    <t>Revisión y Mejoramiento del Sistema del Control Interno de la Administración Pública Municipal de Pachuca de Soto, Estado de Hidalgo</t>
  </si>
  <si>
    <t>Porcentaje de capacitaciones y asesorías realizadas</t>
  </si>
  <si>
    <t>Capacitaciones y asesorías realizadas</t>
  </si>
  <si>
    <t>Dirección de Control.</t>
  </si>
  <si>
    <t xml:space="preserve">Porcentaje de revisiones, inspecciones y/o visitas realizadas </t>
  </si>
  <si>
    <t>Revisiones, inspecciones y/o visitas realizadas</t>
  </si>
  <si>
    <t>Porcentaje de avance en la supervisión sobre la implementación del Marco Integrado y el Manual administrativo de control interno realizado.</t>
  </si>
  <si>
    <t>Avance en la supervisión</t>
  </si>
  <si>
    <t>Auditoría Financiera e Inspección y Vigilancia de Obra Pública.</t>
  </si>
  <si>
    <t>Porcentaje de avance de auditorías y revisiones  y seguimientos realizados.</t>
  </si>
  <si>
    <t>Auditorías y revisiones y seguimientos realizadas</t>
  </si>
  <si>
    <t>Dirección de Auditoría.</t>
  </si>
  <si>
    <t>Porcentaje de entregas recepción intermedia, áreas inspeccionadas y vigiladas</t>
  </si>
  <si>
    <t>Entregas recepción intermedias</t>
  </si>
  <si>
    <t xml:space="preserve">Atención de Denuncias por Presuntas Faltas Administrativas </t>
  </si>
  <si>
    <t>Porcentaje de atenciones a denuncias realizadas</t>
  </si>
  <si>
    <t>Atención a denuncias realizadas</t>
  </si>
  <si>
    <t>Situación Patrimonial de los Servidores Públicos.</t>
  </si>
  <si>
    <t>Porcentaje de servidores públicos cumplidos.</t>
  </si>
  <si>
    <t>Servidores públicos cumplidos</t>
  </si>
  <si>
    <t>Dirección de Denuncias y Situación Patrimonial.</t>
  </si>
  <si>
    <t>Conservación y Ampliación del Alcance del Sistema de Gestión de la Calidad ISO 9001 de la Presidencia Municipal de Pachuca de Soto, Hidalgo.</t>
  </si>
  <si>
    <t>Porcentaje de auditorías internas y externas del Sistema de Gestión de Calidad realizadas</t>
  </si>
  <si>
    <t>Auditorías internas y externas del Sistema de Gestión de Calidad realizadas</t>
  </si>
  <si>
    <t>Dirección de Gestión de Calidad.</t>
  </si>
  <si>
    <t>2do trimestre</t>
  </si>
  <si>
    <t>Porcentaje de revisiones por la Dirección del Sistema de Gestión de la Calidad realizadas</t>
  </si>
  <si>
    <t>Revisiones realizadas</t>
  </si>
  <si>
    <t>Transparencia y Acceso a la Información Pública Gubernamental y Protección de Datos Personales.</t>
  </si>
  <si>
    <t>Porcentaje de actualizaciones a las 57 fracciones de Información pública realizada</t>
  </si>
  <si>
    <t>Información actualizada</t>
  </si>
  <si>
    <t>Dirección de Transparencia e Información Pública Gubernamental.</t>
  </si>
  <si>
    <t>Porcentaje de informes mensuales validados por el Órgano Garante (ITAIH) respecto a la atención de solicitudes de acceso a la información pública realizados.</t>
  </si>
  <si>
    <t xml:space="preserve">Informes mensuales validados por el Órgano Garante </t>
  </si>
  <si>
    <t>Porcentaje de informes mensuales validados por el Órgano Garante (ITAIH) respecto de solicitudes que son de notoria inexistencia o incompetencia realizados.</t>
  </si>
  <si>
    <t>Substanciación y Resolución  de Responsabilidades Administrativas de los Servidores Públicos.</t>
  </si>
  <si>
    <t>Porcentaje de procedimientos de presunta responsabilidad administrativa iniciados.</t>
  </si>
  <si>
    <t>Procedimientos de presunta responsabilidad iniciados</t>
  </si>
  <si>
    <t>Dirección de Responsabilidades.</t>
  </si>
  <si>
    <t>Coordinación de la Secretaría de Servicios Públicos Municipales.</t>
  </si>
  <si>
    <t>Porcentaje de planeaciones, cronogramas y programas realizados</t>
  </si>
  <si>
    <t>Planeaciones, cronogramas y programas realizados</t>
  </si>
  <si>
    <t>Secretaría de Servicios Públicos Municipales.</t>
  </si>
  <si>
    <t>Eje 5. Pachuca con infraestructura y servicios de calidad</t>
  </si>
  <si>
    <t>Mejoramiento de la imagen urbana en los espacios públicos, fuentes y monumentos de la Ciudad.</t>
  </si>
  <si>
    <t>Porcentaje de espacios públicos atendidos</t>
  </si>
  <si>
    <t>Espacios Públicos Rehabilitados</t>
  </si>
  <si>
    <t>Porcentaje de diseño, construcción y montaje de exposiciones realizadas</t>
  </si>
  <si>
    <t>Diseño, Construcción y Montaje de Exposiciones</t>
  </si>
  <si>
    <t>Control y Mantenimiento de Mercados Públicos, Plazas y Festividades Públicas.</t>
  </si>
  <si>
    <t>Porcentaje de supervisiones diarias realizadas en espacios públicos realizadas</t>
  </si>
  <si>
    <t>Supervisiones diarias realizadas</t>
  </si>
  <si>
    <t>Dirección de Mercados, Comercio y Abasto.</t>
  </si>
  <si>
    <t>Porcentaje de supervisiones a festividades públicas realizadas</t>
  </si>
  <si>
    <t>Supervisiones a festividades públicas</t>
  </si>
  <si>
    <t>Porcentaje de verificaciones de funcionamiento en mercados realizadas</t>
  </si>
  <si>
    <t>Verificaciones de Funcionamiento en Mercados</t>
  </si>
  <si>
    <t xml:space="preserve">Mantenimiento del alumbrado público </t>
  </si>
  <si>
    <t>Porcentaje del número de luminarias que recibieron mantenimiento.</t>
  </si>
  <si>
    <t>Luminarias que recibieron mantenimiento.</t>
  </si>
  <si>
    <t>Dirección de Alumbrado Público.</t>
  </si>
  <si>
    <t>Porcentaje del número de luminarias instaladas.</t>
  </si>
  <si>
    <t>Luminarias Instaladas</t>
  </si>
  <si>
    <t xml:space="preserve">Aseo Público de Calles, Avenidas y Lugares Públicos </t>
  </si>
  <si>
    <t>Porcentaje de rutas de barrido manual atendidas.</t>
  </si>
  <si>
    <t>Rutas de barrido manual</t>
  </si>
  <si>
    <t>Dirección de Sanidad Municipal.</t>
  </si>
  <si>
    <t>Porcentaje de operativos con cuadrillas de limpieza atendidos</t>
  </si>
  <si>
    <t>operativos con cuadrillas de limpieza atendidos</t>
  </si>
  <si>
    <t>Porcentaje de vaciado y aseo de papeletas manuales realizado</t>
  </si>
  <si>
    <t>vaciado y aseo de papeletas manuales realizado</t>
  </si>
  <si>
    <t>Recolección, Traslado y Disposición Final de RSU</t>
  </si>
  <si>
    <t>Porcentaje de rutas de recolección domiciliaria realizadas</t>
  </si>
  <si>
    <t>Rutas de recolección domiciliaria realizadas</t>
  </si>
  <si>
    <t>Porcentaje de rutas de recolección comercial realizadas.</t>
  </si>
  <si>
    <t>Rutas de recolección comercial realizadas</t>
  </si>
  <si>
    <t>Porcentaje de toneladas de residuos sólidos recepcionadas.</t>
  </si>
  <si>
    <t>Toneladas de residuos sólidos recepcionadas</t>
  </si>
  <si>
    <t>Mantenimiento y rehabilitación de áreas verdes, parques y jardines.</t>
  </si>
  <si>
    <t>Porcentaje de parques y jardines, áreas verdes,camellones y remates visuales con mantenimiento realizado</t>
  </si>
  <si>
    <t>Mantenimiento realizado</t>
  </si>
  <si>
    <t>Porcentaje de reparaciones de juegos infantiles y mobiliario urbano realizado</t>
  </si>
  <si>
    <t>Reparaciones de juegos infantiles y mobiliario urbano realizado</t>
  </si>
  <si>
    <t>Porcentaje de poda y derribo de árboles efectuados</t>
  </si>
  <si>
    <t>Podas y derribos de árboles efectuados</t>
  </si>
  <si>
    <t>Porcentaje de rehabilitaciones y mantenimientos de ciclovías realizados</t>
  </si>
  <si>
    <t>Rehabilitaciones y mantenimientos de ciclovías realizados</t>
  </si>
  <si>
    <t>Porcentaje de viveros construidos</t>
  </si>
  <si>
    <t>Viveros construidos</t>
  </si>
  <si>
    <t>Porcentaje de árboles y plantas sembrados</t>
  </si>
  <si>
    <t>Árboles y plantas sembrados</t>
  </si>
  <si>
    <t>Equipamiento y Rehabilitación para la Óptima Operación del Panteón Municipal</t>
  </si>
  <si>
    <t>Porcentaje de servicios proporcionados.</t>
  </si>
  <si>
    <t>Servicios proporcionados</t>
  </si>
  <si>
    <t>Porcentaje de  servicios de mantenimiento general realizados</t>
  </si>
  <si>
    <t>Servicios de mantenimiento</t>
  </si>
  <si>
    <t>Calidad, Atención y control de procesos y productos en el Rastro Municipal.</t>
  </si>
  <si>
    <t>Porcentaje de control y registro de verificaciones realizadas</t>
  </si>
  <si>
    <t>Control y registro de verificaciones realizadas</t>
  </si>
  <si>
    <t>Porcentaje de Cumplimiento a las disposiciones normativas ambientales y sanitarias</t>
  </si>
  <si>
    <t>Cumplimiento a las disposiciones normativas ambientales y sanitarias</t>
  </si>
  <si>
    <t>Coordinación de la Secretaría General.</t>
  </si>
  <si>
    <t>Porcentaje de gestiones realizadas</t>
  </si>
  <si>
    <t>gestiones realizadas</t>
  </si>
  <si>
    <t>Secretaría General.</t>
  </si>
  <si>
    <t>Porcentaje de audiencias atendidas</t>
  </si>
  <si>
    <t>Audiencias atendidas</t>
  </si>
  <si>
    <t>Atención en materia de asesoría legal.</t>
  </si>
  <si>
    <t>Porcentaje de acciones realizadas por la DGJ.</t>
  </si>
  <si>
    <t>Acciones realizadas por la DGJ</t>
  </si>
  <si>
    <t>Dirección General Jurídica.</t>
  </si>
  <si>
    <t>Porcentaje de Servicios de la Oficina Conciliadora brindados.</t>
  </si>
  <si>
    <t>Servicios de la oficina conciliadora</t>
  </si>
  <si>
    <t>Atención de asuntos de lo contencioso.</t>
  </si>
  <si>
    <t>Porcentaje de seguimiento oportuno a los juicios realizados</t>
  </si>
  <si>
    <t>Seguimiento oportuno a los juicios</t>
  </si>
  <si>
    <t>Dirección de lo Contencioso.</t>
  </si>
  <si>
    <t>Porcentaje de asesorías jurídicas otorgadas.</t>
  </si>
  <si>
    <t>Asesorías jurídicas otorgadas</t>
  </si>
  <si>
    <t>Inscripción y Expedición de los Actos Jurídicos del Registro del Estado Familiar.</t>
  </si>
  <si>
    <t>Porcentaje de Inscripciones realizadas.</t>
  </si>
  <si>
    <t>Inscripciones realizadas</t>
  </si>
  <si>
    <t>Dirección de la Oficialía del Registro del Estado Familiar.</t>
  </si>
  <si>
    <t>Porcentaje de expediciones realizadas.</t>
  </si>
  <si>
    <t>Expediciones realizadas</t>
  </si>
  <si>
    <t>Porcentaje  de avance en modernización del archivo realizado</t>
  </si>
  <si>
    <t>Avance realizado</t>
  </si>
  <si>
    <t>Fortalecimiento de la gobernabilidad y el tejido Social del municipio</t>
  </si>
  <si>
    <t>Porcentaje de asesorías proporcionadas.</t>
  </si>
  <si>
    <t>Asesorías proporcionadas</t>
  </si>
  <si>
    <t>Dirección de Desarrollo Político.</t>
  </si>
  <si>
    <t>Porcentaje de recorridos efectuados.</t>
  </si>
  <si>
    <t>Recorridos efectuados</t>
  </si>
  <si>
    <t>Porcentaje de actualización de las organizaciones  existentes en el Municipio.</t>
  </si>
  <si>
    <t>Actualización de organizaciones</t>
  </si>
  <si>
    <t>Porcentaje de mesas de distensión interinstitucionales realizadas.</t>
  </si>
  <si>
    <t>Mesas de Distensión Interinstitucionales</t>
  </si>
  <si>
    <t>Porcentaje de permisos para eventos en espacios públicos otorgados</t>
  </si>
  <si>
    <t>Permisos para eventos otorgados</t>
  </si>
  <si>
    <t>Programa Municipal de Participación Social.</t>
  </si>
  <si>
    <t>Porcentaje de audiencias realizadas</t>
  </si>
  <si>
    <t>Audiencias realizadas</t>
  </si>
  <si>
    <t>Dirección de Vinculación Ciudadana.</t>
  </si>
  <si>
    <t>Porcentaje de gestión y vinculación realizada</t>
  </si>
  <si>
    <t xml:space="preserve">Gestión y vinculación </t>
  </si>
  <si>
    <t>Porcentaje del registro realizado</t>
  </si>
  <si>
    <t>Registro realizado</t>
  </si>
  <si>
    <t>Regulación de Establecimientos Mercantiles.</t>
  </si>
  <si>
    <t>Porcentaje de avisos de regulación entregados</t>
  </si>
  <si>
    <t>Avisos de regulación entregados</t>
  </si>
  <si>
    <t>Dirección de Reglamentos y Espectáculos.</t>
  </si>
  <si>
    <t xml:space="preserve">Porcentaje de operativos realizados </t>
  </si>
  <si>
    <t>Operativos realizados</t>
  </si>
  <si>
    <t>Eje 4. Pachuca segura y en paz</t>
  </si>
  <si>
    <t>Gestión Integral de Riesgos y Servicios de Emergencia.</t>
  </si>
  <si>
    <t>Porcentaje de solicitudes de la gestión integral de riesgos atendidas.</t>
  </si>
  <si>
    <t>Solicitudes de gestión integral de riesgos</t>
  </si>
  <si>
    <t>Dirección de Protección Civil, Bomberos y Gestión Integral.</t>
  </si>
  <si>
    <t>Porcentaje de servicios  de emergencias atendidos.</t>
  </si>
  <si>
    <t>Servicios de emergencias</t>
  </si>
  <si>
    <t>Porcentaje de avances de actualización del Plan de Contingencia Municipal</t>
  </si>
  <si>
    <t>Actualización  del plan</t>
  </si>
  <si>
    <t>Difusión de Información Institucional</t>
  </si>
  <si>
    <t>Porcentaje de notas positivas publicadas</t>
  </si>
  <si>
    <t>Notas positivas publicadas</t>
  </si>
  <si>
    <t>Dirección de Comunicación Social</t>
  </si>
  <si>
    <t>Coordinación de la Secretaría de Obras Públicas, Desarrollo Urbano, Vivienda y Movilidad.</t>
  </si>
  <si>
    <t>Porcentaje de avance en el cumplimiento los proyectos de las áreas operativas.</t>
  </si>
  <si>
    <t>Avance en el cumplimento de los proyectos</t>
  </si>
  <si>
    <t>Secretaría de Obras Públicas, Desarrollo Urbano, Vivienda y Movilidad.</t>
  </si>
  <si>
    <t>Supervisión, vigilancia, ejecución y entrega de obra pública e infraestructura.</t>
  </si>
  <si>
    <t>Porcentaje supervisión de la ejecución de obras realizada</t>
  </si>
  <si>
    <t>Supervisión de obras realizadas</t>
  </si>
  <si>
    <t>Dirección de Obras Públicas.</t>
  </si>
  <si>
    <t>Promover y vigilar los asentamientos humanos y el desarrollo urbano del municipio</t>
  </si>
  <si>
    <t>Porcentaje de Licencias emitidas</t>
  </si>
  <si>
    <t>Dirección de Desarrollo Urbano.</t>
  </si>
  <si>
    <t xml:space="preserve">Elaboración de Expedientes Técnicos y Proyectos </t>
  </si>
  <si>
    <t>Porcentaje de expedientes técnicos elaborados.</t>
  </si>
  <si>
    <t>Expedientes técnicos elaborados</t>
  </si>
  <si>
    <t>Dirección de Estudios y Proyectos.</t>
  </si>
  <si>
    <t>Vivienda digna para la población en situación de vulnerabilidad dentro del municipio.</t>
  </si>
  <si>
    <t>Porcentaje de diagnósticos para el apoyo en el mejoramiento de vivienda realizada.</t>
  </si>
  <si>
    <t>Diagnósticos para el apoyo en el mejoramiento de vivienda</t>
  </si>
  <si>
    <t>Dirección de Vivienda.</t>
  </si>
  <si>
    <t>Porcentaje de participación ciudadana en Comités conformados.</t>
  </si>
  <si>
    <t>Participación ciudadana y comités conformados</t>
  </si>
  <si>
    <t>Conservación y ordenamiento del patrimonio arquitectónico, monumental y artístico del Centro Histórico.</t>
  </si>
  <si>
    <t xml:space="preserve">Acciones realizadas  </t>
  </si>
  <si>
    <t>Dirección de Centro Histórico.</t>
  </si>
  <si>
    <t>Porcentaje de proyectos integrados</t>
  </si>
  <si>
    <t>Proyectos integrados</t>
  </si>
  <si>
    <t>Mantenimiento y preservación de la Imagen e Infraestructura Urbana.</t>
  </si>
  <si>
    <t>Porcentaje de metros cuadrados de bacheo realizado</t>
  </si>
  <si>
    <t>M2 de bacheo realizado</t>
  </si>
  <si>
    <t>Dirección de Movilidad.</t>
  </si>
  <si>
    <t>Porcentaje de rejillas pluviales limpiadas</t>
  </si>
  <si>
    <t>Rejillas pluviales limpiadas</t>
  </si>
  <si>
    <t>Porcentaje de m2 de pintura aplicada</t>
  </si>
  <si>
    <t>M2 de pintura aplicada</t>
  </si>
  <si>
    <t>Porcentaje de m2 banquetas, andadores, rampas y escaleras atendidas</t>
  </si>
  <si>
    <t>M2 banquetas andadores, rampas y escaleras atendidos</t>
  </si>
  <si>
    <t>Porcentaje de tapas de registro y/o brocales atendidos</t>
  </si>
  <si>
    <t>tapas de registro y/o brocales atendidos</t>
  </si>
  <si>
    <t>Porcentaje de guarniciones construidas</t>
  </si>
  <si>
    <t>Guarniciones construidas</t>
  </si>
  <si>
    <t>Porcentaje M2 de rehabilitación, mantenimiento y conservación de alcantarillado pluvial realizado</t>
  </si>
  <si>
    <t xml:space="preserve"> M2 de rehabilitación, mantenimiento y conservación de alcantarillado pluvial realizado</t>
  </si>
  <si>
    <t>Porcentaje de parques de bolsillo realizados</t>
  </si>
  <si>
    <t xml:space="preserve"> parques de bolsillo realizados</t>
  </si>
  <si>
    <t>Porcentaje de metros lineales de ciclovías y senderos realizados</t>
  </si>
  <si>
    <t>Metros lineales de ciclovías y senderos realizados</t>
  </si>
  <si>
    <t>Control financiero y administración de los recursos ejecutados por la Secretaría.</t>
  </si>
  <si>
    <t>Porcentaje de eficientes controles administrativos ejecutados.</t>
  </si>
  <si>
    <t>Controles administrativos ejecutados</t>
  </si>
  <si>
    <t>Dirección Administrativa.</t>
  </si>
  <si>
    <t>Coordinación de la Secretaría de la Tesorería.</t>
  </si>
  <si>
    <t>Porcentaje de avance en el cumplimiento los proyectos de las áreas operativas</t>
  </si>
  <si>
    <t xml:space="preserve"> avance en el cumplimiento los proyectos de las áreas operativas</t>
  </si>
  <si>
    <t>Secretaría de la Tesorería Municipal.</t>
  </si>
  <si>
    <t>Catastro gestión e ingreso</t>
  </si>
  <si>
    <t>Porcentaje de predios actualizados.</t>
  </si>
  <si>
    <t>Predios actualizados</t>
  </si>
  <si>
    <t>Dirección de Catastro.</t>
  </si>
  <si>
    <t>Porcentaje de avalúos y visitas atendidas en tiempo y forma</t>
  </si>
  <si>
    <t>Avalúos y visitas atendidas en tiempo y forma</t>
  </si>
  <si>
    <t>Evaluación de la eficiencia recaudatoria.</t>
  </si>
  <si>
    <t>Porcentaje de iniciativa de la ley de ingresos enviada</t>
  </si>
  <si>
    <t>Iniciativa de ley de ingresos enviada</t>
  </si>
  <si>
    <t>Dirección de Ingresos.</t>
  </si>
  <si>
    <t xml:space="preserve">Porcentaje de registros, depósitos o transferencias bancarias realizadas  </t>
  </si>
  <si>
    <t xml:space="preserve">registros, depósitos o transferencias bancarias realizadas  </t>
  </si>
  <si>
    <t>Porcentaje de ingreso por impuesto predial recaudado</t>
  </si>
  <si>
    <t>Ingreso por impuesto predial</t>
  </si>
  <si>
    <t>Porcentaje de convenios realizados</t>
  </si>
  <si>
    <t>Convenios realizados</t>
  </si>
  <si>
    <t>Porcentaje de ingresos por impuesto de traslado de dominio recaudado</t>
  </si>
  <si>
    <t>Ingresos por impuesto de traslado de dominio recaudado</t>
  </si>
  <si>
    <t>Evaluación financiera municipal.</t>
  </si>
  <si>
    <t>Porcentaje de solicitudes ejecutadas.</t>
  </si>
  <si>
    <t>Solicitudes ejecutadas</t>
  </si>
  <si>
    <t>Dirección de Egresos.</t>
  </si>
  <si>
    <t>Armonización contable y disciplina presupuestal</t>
  </si>
  <si>
    <t>Porcentaje de Auditorías atendidas</t>
  </si>
  <si>
    <t>Auditorías Atendidas</t>
  </si>
  <si>
    <t>Dirección Presupuesto y Contabilidad.</t>
  </si>
  <si>
    <t>Porcentaje de informes de gestión financiera entregados.</t>
  </si>
  <si>
    <t>Cuenta Pública e Informes de Gestión Financiera Entregados</t>
  </si>
  <si>
    <t>Porcentaje de presupuestos de egresos publicados.</t>
  </si>
  <si>
    <t>Presupuestos Publicados</t>
  </si>
  <si>
    <t>Coordinación de la Secretaría de Seguridad Pública, Tránsito y Vialidad.</t>
  </si>
  <si>
    <t>Porcentaje de audiencias realizadas.</t>
  </si>
  <si>
    <t>Audiencias</t>
  </si>
  <si>
    <t>Secretaría de Seguridad Pública, Tránsito y Vialidad.</t>
  </si>
  <si>
    <t>Vigilancia Sectorial y Operatividad con Enfoque en Proximidad Social</t>
  </si>
  <si>
    <t>Porcentaje de recorridos realizados.</t>
  </si>
  <si>
    <t>Recorridos realizados</t>
  </si>
  <si>
    <t>Dirección de Policía Preventiva.</t>
  </si>
  <si>
    <t>Porcentaje de operativos implementados.</t>
  </si>
  <si>
    <t>Operativos Implementados</t>
  </si>
  <si>
    <t>Seguridad vial para todos</t>
  </si>
  <si>
    <t>Porcentaje de operativos viales realizados</t>
  </si>
  <si>
    <t>Operativos viales realizados</t>
  </si>
  <si>
    <t>Dirección de Vialidad y Tránsito.</t>
  </si>
  <si>
    <t>Vive seguro</t>
  </si>
  <si>
    <t xml:space="preserve">Apoyo a la operación  </t>
  </si>
  <si>
    <t>Porcentaje de equipos otorgados</t>
  </si>
  <si>
    <t>Equipos otorgados</t>
  </si>
  <si>
    <t>Porcentaje de elementos certificados</t>
  </si>
  <si>
    <t>Elementos certificados</t>
  </si>
  <si>
    <t>Programa Integral para la Prevención de la Violencia y Delincuencia con Participación Ciudadana</t>
  </si>
  <si>
    <t>Porcentaje de personas que asisten.</t>
  </si>
  <si>
    <t>Personas que asisten</t>
  </si>
  <si>
    <t>Dirección de Prevención del Delito.</t>
  </si>
  <si>
    <t>Porcentaje de operativos implementados</t>
  </si>
  <si>
    <t>Operativos implementados</t>
  </si>
  <si>
    <t>Porcentaje de órdenes de protección y restricción cumplidas</t>
  </si>
  <si>
    <t>Órdenes de protección y restricción cumplidas</t>
  </si>
  <si>
    <t>Porcentaje de Personas que se atienden</t>
  </si>
  <si>
    <t>Porcentaje talleres realizados</t>
  </si>
  <si>
    <t>Talleres realizados</t>
  </si>
  <si>
    <t>Atención Oportuna ante Actos Delictivos, Infracciones y Faltas Administrativas</t>
  </si>
  <si>
    <t>Porcentaje de llamadas canalizadas adecuadamente</t>
  </si>
  <si>
    <t>llamadas canalizadas adecuadamente</t>
  </si>
  <si>
    <t>Coordinación de la Participación Democrática en los Asuntos de Interés Público dentro de la Asamblea Municipal</t>
  </si>
  <si>
    <t>Porcentaje de coordinaciones de sesiones del Ayuntamiento realizadas</t>
  </si>
  <si>
    <t>Coordinación de sesiones realizadas</t>
  </si>
  <si>
    <t>Asamblea Municipal</t>
  </si>
  <si>
    <t>Porcentaje de sesiones de las comisiones del Ayuntamiento realizadas</t>
  </si>
  <si>
    <t>Sesiones de las comisiones realizadas</t>
  </si>
  <si>
    <t>Vigilancia y Atención de los Intereses Jurídicos y Hacendarios del Municipio dentro de la Asamblea Municipal</t>
  </si>
  <si>
    <t>Porcentaje de revisiones financieras efectuadas</t>
  </si>
  <si>
    <t>Revisiones financieras efectuadas</t>
  </si>
  <si>
    <t>Sindicatura Hacendaria</t>
  </si>
  <si>
    <t>Porcentaje de revisiones jurídicas efectuadas</t>
  </si>
  <si>
    <t>Revisiones jurídicas efectuadas</t>
  </si>
  <si>
    <t>Sindicatura Jurídica</t>
  </si>
  <si>
    <t>Coordinación, Seguimiento y Ejecución del Trabajo Legislativo de los Integrantes de la Asamblea Municipal</t>
  </si>
  <si>
    <t>Porcentaje de actas elaboradas</t>
  </si>
  <si>
    <t>Actas elaboradas</t>
  </si>
  <si>
    <t>Oficialía Mayor</t>
  </si>
  <si>
    <t>Porcentaje de decretos y gacetas publicadas</t>
  </si>
  <si>
    <t>Decretos y gacetas publicadas</t>
  </si>
  <si>
    <t>Dirigir, supervisar y coordinar el sistema DIF Municipal</t>
  </si>
  <si>
    <t>Porcentaje de coordinaciones eficientes realizadas.</t>
  </si>
  <si>
    <t>Coordinaciones eficientes realizadas</t>
  </si>
  <si>
    <t>Dirección Ejecutiva.</t>
  </si>
  <si>
    <t>Seguimiento de acuerdos e instrucciones que la Dirección ejecutiva dicte y adecuado cumplimiento de rendición de transparencia</t>
  </si>
  <si>
    <t>Porcentaje de integración de juntas de gobierno verificadas</t>
  </si>
  <si>
    <t xml:space="preserve"> integración de juntas de gobierno</t>
  </si>
  <si>
    <t>Coordinación Técnica.</t>
  </si>
  <si>
    <t>Porcentaje de reuniones del equipo de trabajo del Sistema DIF Municipal realizadas</t>
  </si>
  <si>
    <t>Reuniones realizadas</t>
  </si>
  <si>
    <t>Porcentaje de información y metas de los programas del Sistema DIF Municipal</t>
  </si>
  <si>
    <t>Informes realizadas</t>
  </si>
  <si>
    <t>Administración eficiente.</t>
  </si>
  <si>
    <t xml:space="preserve">Porcentaje de bienes y servicios  otorgados. </t>
  </si>
  <si>
    <t>Bienes y servicios otorgados</t>
  </si>
  <si>
    <t>Coordinación Administrativa.</t>
  </si>
  <si>
    <t>Porcentaje de actividades de recursos humanos realizadas</t>
  </si>
  <si>
    <t>Actividades realizadas</t>
  </si>
  <si>
    <t> Porcentaje de solicitudes de mantenimientos informáticos atendidos.</t>
  </si>
  <si>
    <t>Mantenimientos informáticos atendidos</t>
  </si>
  <si>
    <t>Porcentaje actualizaciones de inventarios realizados.</t>
  </si>
  <si>
    <t>Inventarios Realizados</t>
  </si>
  <si>
    <t>Porcentaje de informes entregados</t>
  </si>
  <si>
    <t>Informes entregados</t>
  </si>
  <si>
    <t>Asesoria y Gestoria Jurídica a personas sujetas de asistencia social</t>
  </si>
  <si>
    <t>Porcentaje de Asesorías legales brindadas.</t>
  </si>
  <si>
    <t>Asesorías legales bridadas</t>
  </si>
  <si>
    <t>Coordinación Jurídica y Procuraduría Municipal de Protección a Niñas, Niños, Adolescentes y las Familias.</t>
  </si>
  <si>
    <t>Porcentaje de intervenciones de la unidad de primer contacto realizadas</t>
  </si>
  <si>
    <t>Intervenciones realizadas</t>
  </si>
  <si>
    <t>Porcentaje de cápsula informativas y/o AFAE realizadas</t>
  </si>
  <si>
    <t>Cápsulas informativas realizadas</t>
  </si>
  <si>
    <t>Porcentaje de orientaciones sobre temas de testamento realizadas</t>
  </si>
  <si>
    <t>Orientaciones realizadas</t>
  </si>
  <si>
    <t>Porcentaje de recorridos en cruceros y semáforos para detectar trabajo infantil realizados</t>
  </si>
  <si>
    <t>Albergue temporal DIF Pachuca</t>
  </si>
  <si>
    <t>Porcentaje de niñas, niños y adolescentes albergados.</t>
  </si>
  <si>
    <t>Niñas, niños y adolescentes albergados</t>
  </si>
  <si>
    <t>Porcentaje de personas y familias migrantes albergadas temporalmente</t>
  </si>
  <si>
    <t>Personas y familias albergadas</t>
  </si>
  <si>
    <t>Gestión y vinculación social</t>
  </si>
  <si>
    <t>Porcentaje de apoyos eficientes entregados.</t>
  </si>
  <si>
    <t>Apoyos eficientes entregados</t>
  </si>
  <si>
    <t>Coordinación de Gestión y Vinculación.</t>
  </si>
  <si>
    <t>Porcentaje de capacitaciones replicadas.</t>
  </si>
  <si>
    <t>Capacitaciones replicadas</t>
  </si>
  <si>
    <t>Cuarto de Estimulación Multisensorial</t>
  </si>
  <si>
    <t>Porcentaje de terapias otorgadas</t>
  </si>
  <si>
    <t>Terapias otorgadas</t>
  </si>
  <si>
    <t>Coordinación de Protección a la Infancia y Desarrollo Comunitario</t>
  </si>
  <si>
    <t>CAIC Camelia</t>
  </si>
  <si>
    <t>Porcentaje de servicios educativos integrales otorgados</t>
  </si>
  <si>
    <t>Servicios educativos integrales otorgados</t>
  </si>
  <si>
    <t>Porcentaje de alimentos otorgados.</t>
  </si>
  <si>
    <t>Alimentos otorgados</t>
  </si>
  <si>
    <t>CAIC La Raza</t>
  </si>
  <si>
    <t>CAIC Nopalcalco</t>
  </si>
  <si>
    <t>CAIC Plutarco</t>
  </si>
  <si>
    <t>CAIC Santa Julia</t>
  </si>
  <si>
    <t>CAIC Tlapacoya</t>
  </si>
  <si>
    <t>CAIC Guadalupe</t>
  </si>
  <si>
    <t>Centros de Desarrollo Comunitario.</t>
  </si>
  <si>
    <t>Porcentaje de pláticas, talleres y consultas otorgadas</t>
  </si>
  <si>
    <t>Pláticas, talleres y consultas otorgadas</t>
  </si>
  <si>
    <t>Porcentaje de becas otorgadas.</t>
  </si>
  <si>
    <t>Becas otorgadas</t>
  </si>
  <si>
    <t>Programas alimentarios</t>
  </si>
  <si>
    <t>Porcentaje de desayunos fríos otorgados</t>
  </si>
  <si>
    <t>Desayunos fríos otorgados</t>
  </si>
  <si>
    <t>Porcentaje de desayunos calientes otorgados</t>
  </si>
  <si>
    <t>Desayunos calientes otorgados</t>
  </si>
  <si>
    <t>Porcentaje de alimentos otorgados en espacios de alimentación</t>
  </si>
  <si>
    <t>Alimentos otorgados en espacios de alimentación</t>
  </si>
  <si>
    <t>Porcentaje de dotaciones entregadas</t>
  </si>
  <si>
    <t>Dotaciones entregadas</t>
  </si>
  <si>
    <t>Ludoteca</t>
  </si>
  <si>
    <t>Porcentaje de niñas y niños beneficiados</t>
  </si>
  <si>
    <t>Niñas y niños beneficiados</t>
  </si>
  <si>
    <t>Bioparque</t>
  </si>
  <si>
    <t>Porcentaje de población atendida</t>
  </si>
  <si>
    <t>Población atendida</t>
  </si>
  <si>
    <t>Servicios médicos, odontológicos, nutricionales y estudios de gabinete</t>
  </si>
  <si>
    <t>Porcentaje de Servicios médicos otorgados.</t>
  </si>
  <si>
    <t>Servicios médicos otorgados</t>
  </si>
  <si>
    <t>Coordinación de Servicios Médicos.</t>
  </si>
  <si>
    <t>Porcentaje de personas beneficiadas con las campañas</t>
  </si>
  <si>
    <t>Personas beneficiadas</t>
  </si>
  <si>
    <t>Estudios de laboratorio</t>
  </si>
  <si>
    <t>Porcentaje de estudios de laboratorio realizados</t>
  </si>
  <si>
    <t>Unidad Básica de Rehabilitación.</t>
  </si>
  <si>
    <t>Porcentaje de consultas y terapias otorgadas.</t>
  </si>
  <si>
    <t>Consultas y terapias</t>
  </si>
  <si>
    <t>Porcentaje de usuarios trasladados</t>
  </si>
  <si>
    <t>Usuarios trasladados</t>
  </si>
  <si>
    <t>Difundir Contenido Educativo así como los Servicios y Acciones Realizadas por el Sistema DIF Pachuca</t>
  </si>
  <si>
    <t>Porcentaje de boletines y pies de foto difundidos</t>
  </si>
  <si>
    <t>Boletines y pies de foto difundidos</t>
  </si>
  <si>
    <t>Coordinación de Comunicación Social</t>
  </si>
  <si>
    <t>Porcentaje de materiales gráficos para impresos realizados.</t>
  </si>
  <si>
    <t>Materiales gráficos para impresos</t>
  </si>
  <si>
    <t>Porcentaje de materiales gráficos para redes sociales realizados.</t>
  </si>
  <si>
    <t>Materiales gráficos para redes sociales</t>
  </si>
  <si>
    <t>Talleres y Pláticas para Avanzar en Familia</t>
  </si>
  <si>
    <t>Porcentaje de talleres psico-educativos impartidos</t>
  </si>
  <si>
    <t>Talleres Psico-Educativos</t>
  </si>
  <si>
    <t>Coordinación de Desarrollo Emocional y Familiar.</t>
  </si>
  <si>
    <t>Porcentaje de pláticas psicoeducativas impartidas.</t>
  </si>
  <si>
    <t>Pláticas Psico-Educativos</t>
  </si>
  <si>
    <t>Porcentaje de actividades lúdicas impartidas.</t>
  </si>
  <si>
    <t>Actividades lúdicas impartidas</t>
  </si>
  <si>
    <t>Atención psicológica y terapia de lenguaje y aprendizaje</t>
  </si>
  <si>
    <t>Porcentaje de consultas de atención psicológica brindada</t>
  </si>
  <si>
    <t>Consultas brindadas</t>
  </si>
  <si>
    <t>Porcentaje de consultas de atención de lenguaje realizadas</t>
  </si>
  <si>
    <t>Consultas realizadas</t>
  </si>
  <si>
    <t>Unidad de primer contacto</t>
  </si>
  <si>
    <t>Porcentaje de reportes de violencia de NNA atendidos</t>
  </si>
  <si>
    <t>Reportes de violencia atendidos</t>
  </si>
  <si>
    <t>Estancia DIF y lactario DIF</t>
  </si>
  <si>
    <t>Porcentaje de NNA atendidas</t>
  </si>
  <si>
    <t>NNA atendidos</t>
  </si>
  <si>
    <t>Porcentaje de trabajadoras atendidas</t>
  </si>
  <si>
    <t>Trabajadoras atendidas</t>
  </si>
  <si>
    <t>Apoyos asistenciales</t>
  </si>
  <si>
    <t>Porcentaje de apoyos asistenciales otorgados.</t>
  </si>
  <si>
    <t>Apoyos asistenciales otorgados</t>
  </si>
  <si>
    <t>Coordinación de Asistencia Social.</t>
  </si>
  <si>
    <t>Porcentaje de cobijas otorgadas.</t>
  </si>
  <si>
    <t>Cobijas otorgadas</t>
  </si>
  <si>
    <t>Porcentaje de gestiones interinstitucionales otorgadas</t>
  </si>
  <si>
    <t>Gestiones interinstitucionales otorgadas</t>
  </si>
  <si>
    <t>Porcentaje de apoyos funcionales otorgados</t>
  </si>
  <si>
    <t>Apoyos funcionales otorgados</t>
  </si>
  <si>
    <t>Becas W15</t>
  </si>
  <si>
    <t>Porcentaje de apoyos otorgados.</t>
  </si>
  <si>
    <t>Coordinación de Asistencia Social</t>
  </si>
  <si>
    <t>Porcentaje de información proporcionada</t>
  </si>
  <si>
    <t>Información proporcionada</t>
  </si>
  <si>
    <t>Club de las y los adultos mayores</t>
  </si>
  <si>
    <t>Porcentaje de clases impartidas.</t>
  </si>
  <si>
    <t>Clases impartidas</t>
  </si>
  <si>
    <t>Porcentaje de talleres y pláticas impartidos.</t>
  </si>
  <si>
    <t>Talleres y pláticas impartidos</t>
  </si>
  <si>
    <t>Porcentaje de eventos realizados.</t>
  </si>
  <si>
    <t>Eventos realizados.</t>
  </si>
  <si>
    <t>Porcentaje de beneficiarios activos</t>
  </si>
  <si>
    <t>Beneficiarios activos</t>
  </si>
  <si>
    <t>Programa Integral de Movilidad Urbana Sustentable</t>
  </si>
  <si>
    <t>Porcentaje de avance en la elaboración del programa integral de movilidad urbana sustentable</t>
  </si>
  <si>
    <t>Avance el programa</t>
  </si>
  <si>
    <t>Instituto Municipal de Investigación y Planeación.</t>
  </si>
  <si>
    <t>Análisis de Polígonos Estratégicos para el Municipio de Pachuca de Soto</t>
  </si>
  <si>
    <t>Porcentaje en el avance de la elaboración del análisis de polígonos estratégicos para el municipio de Pachuca de Soto</t>
  </si>
  <si>
    <t>Avance en análisis de polígonos</t>
  </si>
  <si>
    <t>Herramientas, Mecanismos, Asesorías Psicológicas, Consejerías, Talleres y Campañas</t>
  </si>
  <si>
    <t>Porcentaje de variación de herramientas,mecanismos, talleres y consejerías impartidas</t>
  </si>
  <si>
    <t>Herramientas,mecanismos, talleres y consejerías impartidas</t>
  </si>
  <si>
    <t>Instituto Municipal para la Prevención de Adicciones.</t>
  </si>
  <si>
    <t>Porcentaje de variación de asesorías psicológicas realizadas a las y los usuarios de los servicios del IMPA</t>
  </si>
  <si>
    <t>Asesorías psicológicas realizadas a las y los usuarios de los servicios</t>
  </si>
  <si>
    <t>Porcentaje de campañas de difusión realizadas en la ciudad de Pachuca</t>
  </si>
  <si>
    <t>campañas de difusión realizadas</t>
  </si>
  <si>
    <t>Actividades de administración del tiempo libre en el centro IMPActivo y curso de verano.</t>
  </si>
  <si>
    <t xml:space="preserve">Porcentaje de actividades realizadas </t>
  </si>
  <si>
    <t>Salud Sexual Integral para Adolescentes</t>
  </si>
  <si>
    <t>Porcentaje de colonias y barrios visitados por la unidad móvil</t>
  </si>
  <si>
    <t>colonias y barrios visitados por la unidad móvil</t>
  </si>
  <si>
    <t>Instituto Municipal para la Juventud.</t>
  </si>
  <si>
    <t>Porcentajes de adolescentes atendidos</t>
  </si>
  <si>
    <t>Adolescentes atendidos</t>
  </si>
  <si>
    <t>Porcentaje de pláticas, talleres, jornadas y campañas realizadas</t>
  </si>
  <si>
    <t>pláticas, talleres, jornadas y campañas realizadas</t>
  </si>
  <si>
    <t>Salud mental en la juventud</t>
  </si>
  <si>
    <t>Porcentaje de jóvenes atendidos</t>
  </si>
  <si>
    <t>Jóvenes atendidos</t>
  </si>
  <si>
    <t>Pláticas, talleres, jornadas y campañas realizadas</t>
  </si>
  <si>
    <t>Juventud con perspectiva al empoderamiento sostenible</t>
  </si>
  <si>
    <t>Porcentaje de jóvenes beneficiados</t>
  </si>
  <si>
    <t>Jóvenes beneficiados</t>
  </si>
  <si>
    <t>Porcentaje de charlas y talleres realizados</t>
  </si>
  <si>
    <t>Charlas y talleres realizados</t>
  </si>
  <si>
    <t xml:space="preserve">Porcentaje de alianzas, acuerdos y convenios realizados </t>
  </si>
  <si>
    <t>Alianzas, acuerdos y convenios realizados</t>
  </si>
  <si>
    <t>Coordinación de la Secretaría de Desarrollo Humano y Social.</t>
  </si>
  <si>
    <t>Porcentaje de reuniones realizadas.</t>
  </si>
  <si>
    <t>Secretaría de Desarrollo Humano y Social.</t>
  </si>
  <si>
    <t>Porcentaje de solicitudes ciudadanas atendidas</t>
  </si>
  <si>
    <t>Solicitudes ciudadanas atendidas</t>
  </si>
  <si>
    <t>Pachuca participativa</t>
  </si>
  <si>
    <t>Porcentaje de organizaciones y colectivos inscritos en el registro municipal</t>
  </si>
  <si>
    <t xml:space="preserve">Organizaciones y colectivos inscritos </t>
  </si>
  <si>
    <t>Dirección de Desarrollo Social.</t>
  </si>
  <si>
    <t>Porcentaje de capacitaciones enfocadas en atender a la sociedad civil organizada</t>
  </si>
  <si>
    <t xml:space="preserve">Capacitaciones </t>
  </si>
  <si>
    <t>Porcentaje de apoyos a proyectos  otorgados</t>
  </si>
  <si>
    <t>apoyos a proyectos  otorgados</t>
  </si>
  <si>
    <t>Jornadas Pachuca Ciudad de Derechos</t>
  </si>
  <si>
    <t>Porcentaje de personas que acceden a trámites, servicios y programas sociales atendidas</t>
  </si>
  <si>
    <t>Porcentaje de acciones afirmativas a favor de las poblaciones de atención prioritaria realizadas</t>
  </si>
  <si>
    <t>Porcentaje de eventos  a favor de las poblaciones de atención prioritaria realizados</t>
  </si>
  <si>
    <t>Comités de Salud</t>
  </si>
  <si>
    <t>Pachuca Avanza con Atención y Desarrollo de la Primera Infancia</t>
  </si>
  <si>
    <t>Porcentaje de apoyos económicos otorgados</t>
  </si>
  <si>
    <t>Apoyos económicos</t>
  </si>
  <si>
    <t>Reto de la lectura y bibliotecas digitales</t>
  </si>
  <si>
    <t>Porcentaje de cursos y talleres impartidos</t>
  </si>
  <si>
    <t>Cursos, Talleres impartidos</t>
  </si>
  <si>
    <t>Dirección de Educación.</t>
  </si>
  <si>
    <t>Porcentaje de círculos de lectura realizados</t>
  </si>
  <si>
    <t>instituciones participantes</t>
  </si>
  <si>
    <t>Usuarios atendidos</t>
  </si>
  <si>
    <t>Porcentaje de mejora de espacios públicos realizadas</t>
  </si>
  <si>
    <t>Mejoras en espacios públicos</t>
  </si>
  <si>
    <t>Vinculación y promoción académica</t>
  </si>
  <si>
    <t>Porcentaje de asistentes atendidos</t>
  </si>
  <si>
    <t>Asistentes atendidos</t>
  </si>
  <si>
    <t>Porcentaje de instituciones educativas participantes</t>
  </si>
  <si>
    <t>instituciones educativas participantes</t>
  </si>
  <si>
    <t xml:space="preserve">Porcentaje de usuarios atendidos </t>
  </si>
  <si>
    <t>Porcentaje de alumnos captados</t>
  </si>
  <si>
    <t>Alumnos captados</t>
  </si>
  <si>
    <t>Ciudad del Aprendizaje</t>
  </si>
  <si>
    <t>Cursos y talleres impartidos</t>
  </si>
  <si>
    <t>Porcentaje de actividades recreativas y lúdicas realizadas</t>
  </si>
  <si>
    <t>Actividades recreativas y lúdicas realizadas</t>
  </si>
  <si>
    <t>Porcentaje de intervenciones de mejora en espacios públicos realizados</t>
  </si>
  <si>
    <t>Intervenciones de mejora</t>
  </si>
  <si>
    <t>Prevención y promoción de la salud propia y del entorno</t>
  </si>
  <si>
    <t>Porcentaje de servicios otorgados en la unidad médica municipal</t>
  </si>
  <si>
    <t>Servicios otorgados</t>
  </si>
  <si>
    <t>Porcentaje de pruebas aplicadas en la unidad móvil de pruebas rápidas</t>
  </si>
  <si>
    <t>Pruebas aplicadas</t>
  </si>
  <si>
    <t>Porcentaje de apoyos entregados</t>
  </si>
  <si>
    <t>Reto sobre Ruedas</t>
  </si>
  <si>
    <t>Porcentaje de eventos con bicicletas realizados</t>
  </si>
  <si>
    <t>Instituto Municipal del Deporte.</t>
  </si>
  <si>
    <t>Porcentaje de días que se realiza el préstamo de bicicletas</t>
  </si>
  <si>
    <t>Días de préstamo de bicicletas</t>
  </si>
  <si>
    <t>Porcentaje de difusión de uso de vehículos no motorizados realizados</t>
  </si>
  <si>
    <t>Difusiones realizadas</t>
  </si>
  <si>
    <t>Fortalécete con Pachuca</t>
  </si>
  <si>
    <t>Porcentaje de activaciones físicas realizadas</t>
  </si>
  <si>
    <t>Activaciones Físicas realizadas</t>
  </si>
  <si>
    <t>Porcentaje de promoción y difusión de activaciones físicas realizadas</t>
  </si>
  <si>
    <t>Promoción y difusión de activaciones físicas realizadas</t>
  </si>
  <si>
    <t>Porcentaje de caminatas familiares  y otros eventos que activen a la población brindadas.</t>
  </si>
  <si>
    <t>Caminatas familiares y otros eventos brindadas</t>
  </si>
  <si>
    <t>Al 10 en el deporte</t>
  </si>
  <si>
    <t>Porcentaje de actividades de diferentes disciplinas deportivas realizadas.</t>
  </si>
  <si>
    <t>Actividades de diferentes disciplinas deportivas realizadas</t>
  </si>
  <si>
    <t>Porcentaje de capacitaciones otorgadas.</t>
  </si>
  <si>
    <t>Capacitaciones otorgadas</t>
  </si>
  <si>
    <t>Porcentaje de diagnósticos sobre deporte y recreación actualizado.</t>
  </si>
  <si>
    <t>Diagnóstico actualizado</t>
  </si>
  <si>
    <t>Porcentaje de acciones para promover el deporte y recreación realizado</t>
  </si>
  <si>
    <t>Acciones de promoción realizadas</t>
  </si>
  <si>
    <t>Porcentaje esquemas de coordinación para la atención del deporte y recreación realizado.</t>
  </si>
  <si>
    <t>Esquemas de coordinación para la atención del deporte y recreación realizadas</t>
  </si>
  <si>
    <t>Porcentaje de promociones y difusiones de actividades deportivas brindadas.</t>
  </si>
  <si>
    <t>Promociones y difusiones de actividades deportivas</t>
  </si>
  <si>
    <t>Escuelas Deportivas.</t>
  </si>
  <si>
    <t>Porcentaje de escuela deportivas municipales activas.</t>
  </si>
  <si>
    <t>Escuelas activas</t>
  </si>
  <si>
    <t>Porcentaje de personas beneficiadas en escuelas deportivas municipales.</t>
  </si>
  <si>
    <t xml:space="preserve">Personas beneficiadas en escuelas deportivas municipales </t>
  </si>
  <si>
    <t>Cultura viva para Pachuca</t>
  </si>
  <si>
    <t>Porcentaje de actividades artísticas y culturales realizadas</t>
  </si>
  <si>
    <t>Actividades artísticas y culturales realizadas</t>
  </si>
  <si>
    <t>Instituto Municipal de la Cultura.</t>
  </si>
  <si>
    <t>Nuestra Filarmónica de Pachuca</t>
  </si>
  <si>
    <t>Porcentaje de conciertos realizados</t>
  </si>
  <si>
    <t>Conciertos realizados</t>
  </si>
  <si>
    <t xml:space="preserve">Formación Artística para Pachuca </t>
  </si>
  <si>
    <t>Porcentaje de talleres ofrecidos</t>
  </si>
  <si>
    <t>Talleres ofrecidos</t>
  </si>
  <si>
    <t>Coordinación de la Secretaría de Medio Ambiente y Desarrollo Sustentable.</t>
  </si>
  <si>
    <t>Porcentaje de personas atendidas.</t>
  </si>
  <si>
    <t>Secretaría de Medio Ambiente y Desarrollo Sustentable.</t>
  </si>
  <si>
    <t>Porcentaje de personas capacitadas.</t>
  </si>
  <si>
    <t>Porcentaje de campañas realizadas.</t>
  </si>
  <si>
    <t>Regulación, Control, Inspección y Vigilancia Ambiental en el Municipio de Pachuca de Soto</t>
  </si>
  <si>
    <t>Porcentaje de dictámenes de impacto ambiental emitidos</t>
  </si>
  <si>
    <t>Dictámenes de impacto ambiental emitidos</t>
  </si>
  <si>
    <t>Dirección de Inspección y Vigilancia Ambiental.</t>
  </si>
  <si>
    <t>Porcentaje de Quejas y denuncias Atendidas</t>
  </si>
  <si>
    <t>Quejas y denuncias atendidas</t>
  </si>
  <si>
    <t>Porcentaje de acción realizada</t>
  </si>
  <si>
    <t>Acción realizada</t>
  </si>
  <si>
    <t>Disminución de la Degradación de la Naturaleza y Deforestación del Municipio de Pachuca de Soto</t>
  </si>
  <si>
    <t>Porcentaje de árboles plantados.</t>
  </si>
  <si>
    <t>Árboles plantados</t>
  </si>
  <si>
    <t>Dirección de Sustentabilidad de Recursos Naturales.</t>
  </si>
  <si>
    <t>Porcentaje de quejas y denuncias atendidas</t>
  </si>
  <si>
    <t>Denuncias atendidas</t>
  </si>
  <si>
    <t>Porcentaje de dictámenes emitidos</t>
  </si>
  <si>
    <t>Dictámenes emitidos</t>
  </si>
  <si>
    <t>Procuración y Bienestar Animal</t>
  </si>
  <si>
    <t>Porcentaje de campañas virtuales realizadas</t>
  </si>
  <si>
    <t>Campañas virtuales realizadas</t>
  </si>
  <si>
    <t>Dirección del Área Técnica de Protección, Sanidad Animal y Control de Especies Animales</t>
  </si>
  <si>
    <t>Porcentaje de animales registrados</t>
  </si>
  <si>
    <t>Animales registrados</t>
  </si>
  <si>
    <t>Porcentaje de esterilizaciones realizadas</t>
  </si>
  <si>
    <t>Esterilizaciones realizadas</t>
  </si>
  <si>
    <t>Porcentaje de vacunas aplicadas</t>
  </si>
  <si>
    <t>Vacunas aplicadas</t>
  </si>
  <si>
    <t>Coordinación de la Secretaría de Planeación y Evaluación.</t>
  </si>
  <si>
    <t>Porcentaje de reuniones de coordinación y seguimiento realizadas.</t>
  </si>
  <si>
    <t>Reuniones de coordinación  y seguimiento realizadas</t>
  </si>
  <si>
    <t>Secretaría Planeación y Evaluación.</t>
  </si>
  <si>
    <t>Porcentaje coordinación para integrar la información del 2do Informe de gobierno realizada</t>
  </si>
  <si>
    <t>Coordinaciones para integración de informe</t>
  </si>
  <si>
    <t>Porcentaje de Sesiones Ordinarias del COPLADEM realizadas.</t>
  </si>
  <si>
    <t>Sesiones ordinarias realizadas</t>
  </si>
  <si>
    <t>Fortalecimiento del Presupuesto basado en Resultados y el Sistema de Evaluación del Desempeño</t>
  </si>
  <si>
    <t>Porcentaje de coordinaciones de las Unidades Administrativas para la integración de las MIR´s.</t>
  </si>
  <si>
    <t>Coordinaciones de las Unidades Administrativas para la integración de las MIR´s.</t>
  </si>
  <si>
    <t>Dirección de Planeación, Evaluación y Proyectos Estratégicos</t>
  </si>
  <si>
    <t>Porcentaje de seguimiento al cumplimiento de las metas proyectadas en los PbR´s.</t>
  </si>
  <si>
    <t xml:space="preserve">Seguimiento de metas </t>
  </si>
  <si>
    <t>Porcentaje del diagnóstico debidamente integrado.</t>
  </si>
  <si>
    <t>Diagnóstico integrado</t>
  </si>
  <si>
    <t>Porcentaje de aspectos susceptibles de mejora de las evaluaciones aplicados en la gestión.</t>
  </si>
  <si>
    <t xml:space="preserve">Aspectos susceptibles de mejora de las evaluaciones aplicados </t>
  </si>
  <si>
    <t>Porcentaje de informes para SIPOT integrados</t>
  </si>
  <si>
    <t>Informes integrados</t>
  </si>
  <si>
    <t>Porcentaje de seguimiento al cumplimiento de las metas de los ODS realizado</t>
  </si>
  <si>
    <t>Seguimiento de metas de los ODS</t>
  </si>
  <si>
    <t>Vinculación Interinstitucional e Implementación de las Tecnologías de la Información y Fortalecimiento de Contenidos del Portal Institucional</t>
  </si>
  <si>
    <t>Porcentaje de micrositios creados</t>
  </si>
  <si>
    <t>Datasets Publicados</t>
  </si>
  <si>
    <t>Dirección de Vinculación e Innovación Institucional.</t>
  </si>
  <si>
    <t>Porcentaje de solicitudes atendidas</t>
  </si>
  <si>
    <t>Datasets accedidos y descargados</t>
  </si>
  <si>
    <t>Porcentaje de soluciones tecnológicas realizadas</t>
  </si>
  <si>
    <t>Trámites</t>
  </si>
  <si>
    <t>Porcentaje de Datasets publicados</t>
  </si>
  <si>
    <t>25$</t>
  </si>
  <si>
    <t>Porcentaje de Datasets accedidos y descargados</t>
  </si>
  <si>
    <t>Rehabilitación de Fauna Silvestre</t>
  </si>
  <si>
    <t>Porcentaje de ejemplares recibidos en la URRRFSM</t>
  </si>
  <si>
    <t>Ejemplares recibidos</t>
  </si>
  <si>
    <t>Primera Unidad de Rescate, Rehabilitación de Fauna Silvestre, Endémica y Exótica de México.</t>
  </si>
  <si>
    <t>4. Pachuca Ordenada, Metropolitana y de Futuro</t>
  </si>
  <si>
    <t>Porcentaje gestiones realizadas ante la dirección de calidad</t>
  </si>
  <si>
    <t>Gestiones realizadas</t>
  </si>
  <si>
    <t>Porcentaje de reubicaciones o liberaciones realizadas</t>
  </si>
  <si>
    <t>Reubicaciones o liberaciones realizadas</t>
  </si>
  <si>
    <t>Porcentaje de atenciones médicas a ejemplares de la unidad brindadas</t>
  </si>
  <si>
    <t>Atenciones médicas brindadas</t>
  </si>
  <si>
    <t>Porcentaje de mantenimiento o mejoras a recintos realizados</t>
  </si>
  <si>
    <t>Mantenimientos y mejoras realizados</t>
  </si>
  <si>
    <t>Educación Ambiental sobre Fauna</t>
  </si>
  <si>
    <t>Porcentaje de recorridos presenciales o virtuales realizados</t>
  </si>
  <si>
    <t>Recorridos presenciales o virtuales realizados</t>
  </si>
  <si>
    <t>Porcentaje de cursos impartidos presenciales o virtuales</t>
  </si>
  <si>
    <t>Cursos impartidos</t>
  </si>
  <si>
    <t>Porcentaje de talleres impartidos presenciales o virtuales</t>
  </si>
  <si>
    <t>Porcentaje de publicaciones, infografías o videos en redes sociales</t>
  </si>
  <si>
    <t>Publicaciones, infografías o videos en redes sociales</t>
  </si>
  <si>
    <t>Porcentaje de búsquedas o gestiones realizadas</t>
  </si>
  <si>
    <t>Búsquedas o gestiones realizadas</t>
  </si>
  <si>
    <t>Coordinación de la Secretaría Municipal de las Mujeres</t>
  </si>
  <si>
    <t>Porcentaje de reuniones de coordinación realizadas</t>
  </si>
  <si>
    <t>Reuniones de coordinación realizadas</t>
  </si>
  <si>
    <t>Secretaría Municipal de las Mujeres.</t>
  </si>
  <si>
    <t>Porcentaje de reuniones de trabajo realizadas</t>
  </si>
  <si>
    <t>Reuniones de trabajo realizadas</t>
  </si>
  <si>
    <t>Porcentaje de reuniones de trabajo con dependencias externas realizadas</t>
  </si>
  <si>
    <t>Reuniones de trabajo con dependencias realizadas</t>
  </si>
  <si>
    <t>Avanzar a la igualdad</t>
  </si>
  <si>
    <t>Porcentaje de enlaces de género capacitados</t>
  </si>
  <si>
    <t>Enlaces de género capacitados</t>
  </si>
  <si>
    <t>Porcentaje de servidores públicos municipales capacitados.</t>
  </si>
  <si>
    <t>Mujeres empoderando mujeres</t>
  </si>
  <si>
    <t>Porcentaje de servicios multidisciplinarios realizados</t>
  </si>
  <si>
    <t>Servicios multidisciplinarios realizados</t>
  </si>
  <si>
    <t>Porcentaje de mujeres en talleres registradas</t>
  </si>
  <si>
    <t>Talleres registradas</t>
  </si>
  <si>
    <t>Planeación Estratégica con Perspectiva de Género</t>
  </si>
  <si>
    <t>Porcentaje de presupuestos basados en resultados realizados</t>
  </si>
  <si>
    <t>Presupuestos basados en resultados realizados</t>
  </si>
  <si>
    <t>Porcentaje de evaluaciones a los programas y proyectos realizados</t>
  </si>
  <si>
    <t>Evaluaciones a los programas y proyectos realizados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</si>
</sst>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_-;\-* #,##0.00_-;_-* &quot;-&quot;??_-;_-@"/>
    <numFmt numFmtId="165" formatCode="_-* #,##0.00\ &quot;€&quot;_-;\-* #,##0.00\ &quot;€&quot;_-;_-* &quot;-&quot;??\ &quot;€&quot;_-;_-@"/>
  </numFmts>
  <fonts count="6">
    <font>
      <sz val="11.0"/>
      <color rgb="FF000000"/>
      <name val="Calibri"/>
      <scheme val="minor"/>
    </font>
    <font>
      <b/>
      <sz val="11.0"/>
      <color rgb="FFFFFFFF"/>
      <name val="Arial"/>
    </font>
    <font>
      <sz val="11.0"/>
      <color rgb="FF000000"/>
      <name val="Calibri"/>
    </font>
    <font>
      <b/>
      <sz val="9.0"/>
      <color rgb="FF000000"/>
      <name val="Arial Narrow"/>
    </font>
    <font>
      <sz val="9.0"/>
      <color rgb="FF000000"/>
      <name val="Arial Narrow"/>
    </font>
    <font>
      <sz val="9.0"/>
      <color theme="1"/>
      <name val="Arial Narrow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/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right"/>
    </xf>
    <xf borderId="2" fillId="2" fontId="1" numFmtId="0" xfId="0" applyAlignment="1" applyBorder="1" applyFont="1">
      <alignment horizontal="right"/>
    </xf>
    <xf borderId="2" fillId="2" fontId="1" numFmtId="0" xfId="0" applyAlignment="1" applyBorder="1" applyFont="1">
      <alignment horizontal="left" shrinkToFit="0" vertical="center" wrapText="1"/>
    </xf>
    <xf borderId="2" fillId="2" fontId="2" numFmtId="0" xfId="0" applyAlignment="1" applyBorder="1" applyFont="1">
      <alignment horizontal="left" shrinkToFit="0" vertical="center" wrapText="1"/>
    </xf>
    <xf borderId="2" fillId="2" fontId="2" numFmtId="0" xfId="0" applyBorder="1" applyFont="1"/>
    <xf borderId="2" fillId="2" fontId="2" numFmtId="0" xfId="0" applyAlignment="1" applyBorder="1" applyFont="1">
      <alignment horizontal="center"/>
    </xf>
    <xf borderId="3" fillId="2" fontId="3" numFmtId="0" xfId="0" applyAlignment="1" applyBorder="1" applyFont="1">
      <alignment horizontal="center" shrinkToFit="0" vertical="center" wrapText="1"/>
    </xf>
    <xf borderId="3" fillId="2" fontId="3" numFmtId="0" xfId="0" applyAlignment="1" applyBorder="1" applyFont="1">
      <alignment horizontal="left" shrinkToFit="0" vertical="center" wrapText="1"/>
    </xf>
    <xf borderId="3" fillId="2" fontId="3" numFmtId="164" xfId="0" applyAlignment="1" applyBorder="1" applyFont="1" applyNumberFormat="1">
      <alignment horizontal="center" shrinkToFit="0" vertical="center" wrapText="1"/>
    </xf>
    <xf borderId="4" fillId="2" fontId="4" numFmtId="0" xfId="0" applyAlignment="1" applyBorder="1" applyFont="1">
      <alignment horizontal="center" vertical="center"/>
    </xf>
    <xf borderId="4" fillId="2" fontId="4" numFmtId="0" xfId="0" applyAlignment="1" applyBorder="1" applyFont="1">
      <alignment horizontal="left" shrinkToFit="0" vertical="center" wrapText="1"/>
    </xf>
    <xf borderId="4" fillId="2" fontId="4" numFmtId="0" xfId="0" applyAlignment="1" applyBorder="1" applyFont="1">
      <alignment horizontal="center" shrinkToFit="0" vertical="center" wrapText="1"/>
    </xf>
    <xf borderId="4" fillId="2" fontId="4" numFmtId="0" xfId="0" applyAlignment="1" applyBorder="1" applyFont="1">
      <alignment horizontal="left" readingOrder="0" shrinkToFit="0" vertical="center" wrapText="1"/>
    </xf>
    <xf borderId="4" fillId="2" fontId="4" numFmtId="0" xfId="0" applyAlignment="1" applyBorder="1" applyFont="1">
      <alignment horizontal="center" readingOrder="0" shrinkToFit="0" vertical="center" wrapText="1"/>
    </xf>
    <xf borderId="4" fillId="2" fontId="4" numFmtId="3" xfId="0" applyAlignment="1" applyBorder="1" applyFont="1" applyNumberFormat="1">
      <alignment horizontal="center" readingOrder="0" shrinkToFit="0" vertical="center" wrapText="1"/>
    </xf>
    <xf borderId="4" fillId="2" fontId="4" numFmtId="0" xfId="0" applyAlignment="1" applyBorder="1" applyFont="1">
      <alignment horizontal="center" readingOrder="0" vertical="center"/>
    </xf>
    <xf borderId="4" fillId="2" fontId="4" numFmtId="0" xfId="0" applyAlignment="1" applyBorder="1" applyFont="1">
      <alignment shrinkToFit="0" vertical="center" wrapText="1"/>
    </xf>
    <xf borderId="4" fillId="2" fontId="4" numFmtId="0" xfId="0" applyAlignment="1" applyBorder="1" applyFont="1">
      <alignment vertical="center"/>
    </xf>
    <xf borderId="4" fillId="2" fontId="4" numFmtId="0" xfId="0" applyAlignment="1" applyBorder="1" applyFont="1">
      <alignment readingOrder="0" shrinkToFit="0" vertical="center" wrapText="1"/>
    </xf>
    <xf borderId="4" fillId="2" fontId="4" numFmtId="9" xfId="0" applyAlignment="1" applyBorder="1" applyFont="1" applyNumberFormat="1">
      <alignment horizontal="center" shrinkToFit="0" vertical="center" wrapText="1"/>
    </xf>
    <xf borderId="4" fillId="2" fontId="4" numFmtId="10" xfId="0" applyAlignment="1" applyBorder="1" applyFont="1" applyNumberFormat="1">
      <alignment horizontal="center" shrinkToFit="0" vertical="center" wrapText="1"/>
    </xf>
    <xf borderId="4" fillId="2" fontId="5" numFmtId="0" xfId="0" applyAlignment="1" applyBorder="1" applyFont="1">
      <alignment horizontal="center" shrinkToFit="0" vertical="center" wrapText="1"/>
    </xf>
    <xf borderId="4" fillId="2" fontId="4" numFmtId="2" xfId="0" applyAlignment="1" applyBorder="1" applyFont="1" applyNumberFormat="1">
      <alignment horizontal="center" shrinkToFit="0" vertical="center" wrapText="1"/>
    </xf>
    <xf borderId="3" fillId="2" fontId="4" numFmtId="0" xfId="0" applyAlignment="1" applyBorder="1" applyFont="1">
      <alignment horizontal="left" shrinkToFit="0" vertical="center" wrapText="1"/>
    </xf>
    <xf borderId="4" fillId="2" fontId="4" numFmtId="0" xfId="0" applyAlignment="1" applyBorder="1" applyFont="1">
      <alignment horizontal="left" vertical="center"/>
    </xf>
    <xf borderId="4" fillId="2" fontId="4" numFmtId="0" xfId="0" applyAlignment="1" applyBorder="1" applyFont="1">
      <alignment horizontal="left" readingOrder="0" vertical="center"/>
    </xf>
    <xf borderId="4" fillId="2" fontId="4" numFmtId="9" xfId="0" applyAlignment="1" applyBorder="1" applyFont="1" applyNumberFormat="1">
      <alignment horizontal="center" vertical="center"/>
    </xf>
    <xf borderId="4" fillId="2" fontId="4" numFmtId="165" xfId="0" applyAlignment="1" applyBorder="1" applyFont="1" applyNumberFormat="1">
      <alignment horizontal="left" shrinkToFit="0" vertical="center" wrapText="1"/>
    </xf>
    <xf borderId="4" fillId="2" fontId="5" numFmtId="10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externalLink" Target="externalLinks/externalLink1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oscar/Desktop/Informe%20DES-1/Users/aadominguez/Documents/02%20DESEMPE&#209;O/1er%20trim/mpios%20pred/San%20Felipe%20Orizatl&#225;n/6.-%20INFORMACION%20PROGRAMATICA/DES-1%20INDICADORES%20ESTRATEGICOS%20Y%20DE%20GESTI&#211;N.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Reporte de Formatos"/>
      <sheetName val="Hidden_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8.43"/>
    <col customWidth="1" min="2" max="2" width="18.0"/>
    <col customWidth="1" min="3" max="3" width="39.57"/>
    <col customWidth="1" min="4" max="4" width="35.57"/>
    <col customWidth="1" min="5" max="5" width="37.29"/>
    <col customWidth="1" min="6" max="6" width="20.43"/>
    <col customWidth="1" min="7" max="7" width="14.71"/>
    <col customWidth="1" min="8" max="8" width="17.57"/>
    <col customWidth="1" min="9" max="9" width="17.71"/>
    <col customWidth="1" min="10" max="10" width="30.57"/>
  </cols>
  <sheetData>
    <row r="1" ht="11.25" customHeight="1">
      <c r="A1" s="1"/>
      <c r="B1" s="2"/>
      <c r="C1" s="3"/>
      <c r="D1" s="4"/>
      <c r="E1" s="5"/>
      <c r="F1" s="5"/>
      <c r="G1" s="5"/>
      <c r="H1" s="6"/>
      <c r="I1" s="5"/>
      <c r="J1" s="5"/>
    </row>
    <row r="2" ht="36.0" customHeight="1">
      <c r="A2" s="7" t="s">
        <v>0</v>
      </c>
      <c r="B2" s="7" t="s">
        <v>1</v>
      </c>
      <c r="C2" s="7" t="s">
        <v>2</v>
      </c>
      <c r="D2" s="8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9" t="s">
        <v>8</v>
      </c>
      <c r="J2" s="7" t="s">
        <v>9</v>
      </c>
    </row>
    <row r="3" ht="42.75" customHeight="1">
      <c r="A3" s="10">
        <v>2022.0</v>
      </c>
      <c r="B3" s="10" t="s">
        <v>10</v>
      </c>
      <c r="C3" s="11" t="s">
        <v>11</v>
      </c>
      <c r="D3" s="11" t="s">
        <v>12</v>
      </c>
      <c r="E3" s="11" t="s">
        <v>13</v>
      </c>
      <c r="F3" s="11" t="s">
        <v>14</v>
      </c>
      <c r="G3" s="12">
        <v>0.0</v>
      </c>
      <c r="H3" s="12">
        <f>48+40+44</f>
        <v>132</v>
      </c>
      <c r="I3" s="10">
        <f>79+101+114</f>
        <v>294</v>
      </c>
      <c r="J3" s="13" t="s">
        <v>15</v>
      </c>
    </row>
    <row r="4">
      <c r="A4" s="10">
        <v>2022.0</v>
      </c>
      <c r="B4" s="10" t="s">
        <v>10</v>
      </c>
      <c r="C4" s="11" t="s">
        <v>11</v>
      </c>
      <c r="D4" s="11" t="s">
        <v>16</v>
      </c>
      <c r="E4" s="11" t="s">
        <v>17</v>
      </c>
      <c r="F4" s="11" t="s">
        <v>18</v>
      </c>
      <c r="G4" s="12">
        <v>300.0</v>
      </c>
      <c r="H4" s="12">
        <f>40+35+45</f>
        <v>120</v>
      </c>
      <c r="I4" s="10">
        <f>22+34+32</f>
        <v>88</v>
      </c>
      <c r="J4" s="11" t="s">
        <v>19</v>
      </c>
    </row>
    <row r="5">
      <c r="A5" s="10">
        <v>2022.0</v>
      </c>
      <c r="B5" s="10" t="s">
        <v>10</v>
      </c>
      <c r="C5" s="11" t="s">
        <v>11</v>
      </c>
      <c r="D5" s="11" t="s">
        <v>20</v>
      </c>
      <c r="E5" s="11" t="s">
        <v>21</v>
      </c>
      <c r="F5" s="11" t="s">
        <v>22</v>
      </c>
      <c r="G5" s="12">
        <v>3732.0</v>
      </c>
      <c r="H5" s="12">
        <f>250+200+250</f>
        <v>700</v>
      </c>
      <c r="I5" s="10">
        <f>134+90+154</f>
        <v>378</v>
      </c>
      <c r="J5" s="11" t="s">
        <v>20</v>
      </c>
    </row>
    <row r="6">
      <c r="A6" s="10">
        <v>2022.0</v>
      </c>
      <c r="B6" s="10" t="s">
        <v>10</v>
      </c>
      <c r="C6" s="11" t="s">
        <v>11</v>
      </c>
      <c r="D6" s="11" t="s">
        <v>23</v>
      </c>
      <c r="E6" s="11" t="s">
        <v>24</v>
      </c>
      <c r="F6" s="11" t="s">
        <v>25</v>
      </c>
      <c r="G6" s="12">
        <v>4670.0</v>
      </c>
      <c r="H6" s="12">
        <f>270+231+365</f>
        <v>866</v>
      </c>
      <c r="I6" s="10">
        <f>114+140+233</f>
        <v>487</v>
      </c>
      <c r="J6" s="11" t="s">
        <v>26</v>
      </c>
    </row>
    <row r="7">
      <c r="A7" s="10">
        <v>2022.0</v>
      </c>
      <c r="B7" s="10" t="s">
        <v>10</v>
      </c>
      <c r="C7" s="11" t="s">
        <v>11</v>
      </c>
      <c r="D7" s="11" t="s">
        <v>27</v>
      </c>
      <c r="E7" s="11" t="s">
        <v>28</v>
      </c>
      <c r="F7" s="11" t="s">
        <v>29</v>
      </c>
      <c r="G7" s="12">
        <v>11.0</v>
      </c>
      <c r="H7" s="12">
        <f>2+2+1</f>
        <v>5</v>
      </c>
      <c r="I7" s="10">
        <f>0+1+0</f>
        <v>1</v>
      </c>
      <c r="J7" s="11" t="s">
        <v>30</v>
      </c>
    </row>
    <row r="8">
      <c r="A8" s="10">
        <v>2022.0</v>
      </c>
      <c r="B8" s="10" t="s">
        <v>10</v>
      </c>
      <c r="C8" s="11" t="s">
        <v>31</v>
      </c>
      <c r="D8" s="11" t="s">
        <v>32</v>
      </c>
      <c r="E8" s="11" t="s">
        <v>33</v>
      </c>
      <c r="F8" s="11" t="s">
        <v>34</v>
      </c>
      <c r="G8" s="12">
        <v>0.0</v>
      </c>
      <c r="H8" s="12">
        <f>0+0+1</f>
        <v>1</v>
      </c>
      <c r="I8" s="10">
        <f>1+1+1</f>
        <v>3</v>
      </c>
      <c r="J8" s="11" t="s">
        <v>35</v>
      </c>
    </row>
    <row r="9">
      <c r="A9" s="10">
        <v>2022.0</v>
      </c>
      <c r="B9" s="10" t="s">
        <v>10</v>
      </c>
      <c r="C9" s="11" t="s">
        <v>31</v>
      </c>
      <c r="D9" s="11" t="s">
        <v>32</v>
      </c>
      <c r="E9" s="11" t="s">
        <v>36</v>
      </c>
      <c r="F9" s="11" t="s">
        <v>37</v>
      </c>
      <c r="G9" s="12">
        <v>0.0</v>
      </c>
      <c r="H9" s="12">
        <f t="shared" ref="H9:I9" si="1">1+1+1</f>
        <v>3</v>
      </c>
      <c r="I9" s="10">
        <f t="shared" si="1"/>
        <v>3</v>
      </c>
      <c r="J9" s="11" t="s">
        <v>35</v>
      </c>
    </row>
    <row r="10">
      <c r="A10" s="10">
        <v>2022.0</v>
      </c>
      <c r="B10" s="10" t="s">
        <v>10</v>
      </c>
      <c r="C10" s="11" t="s">
        <v>31</v>
      </c>
      <c r="D10" s="11" t="s">
        <v>38</v>
      </c>
      <c r="E10" s="11" t="s">
        <v>39</v>
      </c>
      <c r="F10" s="11" t="s">
        <v>40</v>
      </c>
      <c r="G10" s="12">
        <v>0.0</v>
      </c>
      <c r="H10" s="12">
        <f>1+0+0</f>
        <v>1</v>
      </c>
      <c r="I10" s="10">
        <f>1+1+1</f>
        <v>3</v>
      </c>
      <c r="J10" s="11" t="s">
        <v>35</v>
      </c>
    </row>
    <row r="11">
      <c r="A11" s="10">
        <v>2022.0</v>
      </c>
      <c r="B11" s="10" t="s">
        <v>10</v>
      </c>
      <c r="C11" s="11" t="s">
        <v>31</v>
      </c>
      <c r="D11" s="11" t="s">
        <v>38</v>
      </c>
      <c r="E11" s="11" t="s">
        <v>41</v>
      </c>
      <c r="F11" s="11" t="s">
        <v>42</v>
      </c>
      <c r="G11" s="12">
        <v>0.0</v>
      </c>
      <c r="H11" s="12">
        <f t="shared" ref="H11:I11" si="2">0+0+1</f>
        <v>1</v>
      </c>
      <c r="I11" s="10">
        <f t="shared" si="2"/>
        <v>1</v>
      </c>
      <c r="J11" s="11" t="s">
        <v>35</v>
      </c>
    </row>
    <row r="12" ht="60.0" customHeight="1">
      <c r="A12" s="10">
        <v>2022.0</v>
      </c>
      <c r="B12" s="10" t="s">
        <v>10</v>
      </c>
      <c r="C12" s="11" t="s">
        <v>31</v>
      </c>
      <c r="D12" s="11" t="s">
        <v>38</v>
      </c>
      <c r="E12" s="11" t="s">
        <v>43</v>
      </c>
      <c r="F12" s="11" t="s">
        <v>44</v>
      </c>
      <c r="G12" s="12">
        <v>0.0</v>
      </c>
      <c r="H12" s="12">
        <f>1+1+1</f>
        <v>3</v>
      </c>
      <c r="I12" s="10">
        <f>1+2+1</f>
        <v>4</v>
      </c>
      <c r="J12" s="11" t="s">
        <v>35</v>
      </c>
    </row>
    <row r="13" ht="60.0" customHeight="1">
      <c r="A13" s="10">
        <v>2022.0</v>
      </c>
      <c r="B13" s="10" t="s">
        <v>10</v>
      </c>
      <c r="C13" s="11" t="s">
        <v>31</v>
      </c>
      <c r="D13" s="13" t="s">
        <v>45</v>
      </c>
      <c r="E13" s="11" t="s">
        <v>46</v>
      </c>
      <c r="F13" s="11" t="s">
        <v>47</v>
      </c>
      <c r="G13" s="12">
        <v>0.0</v>
      </c>
      <c r="H13" s="12">
        <f>0+0+1</f>
        <v>1</v>
      </c>
      <c r="I13" s="10">
        <f>100+85+90</f>
        <v>275</v>
      </c>
      <c r="J13" s="11" t="s">
        <v>35</v>
      </c>
    </row>
    <row r="14" ht="60.0" customHeight="1">
      <c r="A14" s="10">
        <v>2022.0</v>
      </c>
      <c r="B14" s="10" t="s">
        <v>10</v>
      </c>
      <c r="C14" s="11" t="s">
        <v>31</v>
      </c>
      <c r="D14" s="13" t="s">
        <v>45</v>
      </c>
      <c r="E14" s="11" t="s">
        <v>48</v>
      </c>
      <c r="F14" s="11" t="s">
        <v>49</v>
      </c>
      <c r="G14" s="12">
        <v>0.0</v>
      </c>
      <c r="H14" s="12">
        <f>1+1+1</f>
        <v>3</v>
      </c>
      <c r="I14" s="10">
        <f>5+4+5</f>
        <v>14</v>
      </c>
      <c r="J14" s="11" t="s">
        <v>35</v>
      </c>
    </row>
    <row r="15">
      <c r="A15" s="10">
        <v>2022.0</v>
      </c>
      <c r="B15" s="10" t="s">
        <v>10</v>
      </c>
      <c r="C15" s="11" t="s">
        <v>11</v>
      </c>
      <c r="D15" s="11" t="s">
        <v>50</v>
      </c>
      <c r="E15" s="11" t="s">
        <v>51</v>
      </c>
      <c r="F15" s="11" t="s">
        <v>52</v>
      </c>
      <c r="G15" s="12">
        <v>165.0</v>
      </c>
      <c r="H15" s="12">
        <f>10+19+19</f>
        <v>48</v>
      </c>
      <c r="I15" s="10">
        <f>23+19+34</f>
        <v>76</v>
      </c>
      <c r="J15" s="11" t="s">
        <v>53</v>
      </c>
    </row>
    <row r="16">
      <c r="A16" s="10">
        <v>2022.0</v>
      </c>
      <c r="B16" s="10" t="s">
        <v>10</v>
      </c>
      <c r="C16" s="11" t="s">
        <v>11</v>
      </c>
      <c r="D16" s="11" t="s">
        <v>50</v>
      </c>
      <c r="E16" s="11" t="s">
        <v>54</v>
      </c>
      <c r="F16" s="13" t="s">
        <v>55</v>
      </c>
      <c r="G16" s="12">
        <v>30.0</v>
      </c>
      <c r="H16" s="12">
        <f t="shared" ref="H16:I16" si="3">1+2+2</f>
        <v>5</v>
      </c>
      <c r="I16" s="10">
        <f t="shared" si="3"/>
        <v>5</v>
      </c>
      <c r="J16" s="11" t="s">
        <v>53</v>
      </c>
    </row>
    <row r="17">
      <c r="A17" s="10">
        <v>2022.0</v>
      </c>
      <c r="B17" s="10" t="s">
        <v>10</v>
      </c>
      <c r="C17" s="11" t="s">
        <v>56</v>
      </c>
      <c r="D17" s="11" t="s">
        <v>57</v>
      </c>
      <c r="E17" s="11" t="s">
        <v>58</v>
      </c>
      <c r="F17" s="11" t="s">
        <v>59</v>
      </c>
      <c r="G17" s="12">
        <v>0.0</v>
      </c>
      <c r="H17" s="12">
        <f>2000+1800+1500</f>
        <v>5300</v>
      </c>
      <c r="I17" s="10">
        <f>1319+1928+1489</f>
        <v>4736</v>
      </c>
      <c r="J17" s="11" t="s">
        <v>60</v>
      </c>
    </row>
    <row r="18">
      <c r="A18" s="10">
        <v>2022.0</v>
      </c>
      <c r="B18" s="10" t="s">
        <v>10</v>
      </c>
      <c r="C18" s="11" t="s">
        <v>56</v>
      </c>
      <c r="D18" s="11" t="s">
        <v>57</v>
      </c>
      <c r="E18" s="11" t="s">
        <v>61</v>
      </c>
      <c r="F18" s="11" t="s">
        <v>62</v>
      </c>
      <c r="G18" s="12">
        <v>0.0</v>
      </c>
      <c r="H18" s="12">
        <f>1500+1500+1500</f>
        <v>4500</v>
      </c>
      <c r="I18" s="10">
        <f>3367+1036+1190</f>
        <v>5593</v>
      </c>
      <c r="J18" s="11" t="s">
        <v>60</v>
      </c>
    </row>
    <row r="19">
      <c r="A19" s="10">
        <v>2022.0</v>
      </c>
      <c r="B19" s="10" t="s">
        <v>10</v>
      </c>
      <c r="C19" s="11" t="s">
        <v>56</v>
      </c>
      <c r="D19" s="11" t="s">
        <v>57</v>
      </c>
      <c r="E19" s="11" t="s">
        <v>63</v>
      </c>
      <c r="F19" s="11" t="s">
        <v>64</v>
      </c>
      <c r="G19" s="12">
        <v>0.0</v>
      </c>
      <c r="H19" s="12">
        <f>500+800+800</f>
        <v>2100</v>
      </c>
      <c r="I19" s="10">
        <f>2841+1033+812</f>
        <v>4686</v>
      </c>
      <c r="J19" s="11" t="s">
        <v>60</v>
      </c>
    </row>
    <row r="20" ht="52.5" customHeight="1">
      <c r="A20" s="10">
        <v>2022.0</v>
      </c>
      <c r="B20" s="10" t="s">
        <v>10</v>
      </c>
      <c r="C20" s="11" t="s">
        <v>56</v>
      </c>
      <c r="D20" s="11" t="s">
        <v>65</v>
      </c>
      <c r="E20" s="11" t="s">
        <v>66</v>
      </c>
      <c r="F20" s="11" t="s">
        <v>67</v>
      </c>
      <c r="G20" s="12">
        <v>0.0</v>
      </c>
      <c r="H20" s="12">
        <f>0+0+80</f>
        <v>80</v>
      </c>
      <c r="I20" s="10">
        <f>0+0+0</f>
        <v>0</v>
      </c>
      <c r="J20" s="11" t="s">
        <v>60</v>
      </c>
    </row>
    <row r="21" ht="52.5" customHeight="1">
      <c r="A21" s="10">
        <v>2022.0</v>
      </c>
      <c r="B21" s="10" t="s">
        <v>10</v>
      </c>
      <c r="C21" s="11" t="s">
        <v>56</v>
      </c>
      <c r="D21" s="11" t="s">
        <v>65</v>
      </c>
      <c r="E21" s="11" t="s">
        <v>68</v>
      </c>
      <c r="F21" s="11" t="s">
        <v>69</v>
      </c>
      <c r="G21" s="12">
        <v>0.0</v>
      </c>
      <c r="H21" s="12">
        <f>30+30+30</f>
        <v>90</v>
      </c>
      <c r="I21" s="10">
        <f>170+180+180</f>
        <v>530</v>
      </c>
      <c r="J21" s="11" t="s">
        <v>60</v>
      </c>
    </row>
    <row r="22" ht="52.5" customHeight="1">
      <c r="A22" s="10">
        <v>2022.0</v>
      </c>
      <c r="B22" s="10" t="s">
        <v>10</v>
      </c>
      <c r="C22" s="11" t="s">
        <v>56</v>
      </c>
      <c r="D22" s="11" t="s">
        <v>65</v>
      </c>
      <c r="E22" s="11" t="s">
        <v>70</v>
      </c>
      <c r="F22" s="11" t="s">
        <v>71</v>
      </c>
      <c r="G22" s="12">
        <v>0.0</v>
      </c>
      <c r="H22" s="12">
        <f>20+20+20</f>
        <v>60</v>
      </c>
      <c r="I22" s="10">
        <f>7+17+10</f>
        <v>34</v>
      </c>
      <c r="J22" s="11" t="s">
        <v>60</v>
      </c>
    </row>
    <row r="23" ht="15.75" customHeight="1">
      <c r="A23" s="10">
        <v>2022.0</v>
      </c>
      <c r="B23" s="10" t="s">
        <v>10</v>
      </c>
      <c r="C23" s="11" t="s">
        <v>56</v>
      </c>
      <c r="D23" s="11" t="s">
        <v>72</v>
      </c>
      <c r="E23" s="11" t="s">
        <v>73</v>
      </c>
      <c r="F23" s="11" t="s">
        <v>74</v>
      </c>
      <c r="G23" s="12">
        <v>0.0</v>
      </c>
      <c r="H23" s="12">
        <f>55+55+40</f>
        <v>150</v>
      </c>
      <c r="I23" s="10">
        <f>50+22+40</f>
        <v>112</v>
      </c>
      <c r="J23" s="11" t="s">
        <v>60</v>
      </c>
    </row>
    <row r="24" ht="15.75" customHeight="1">
      <c r="A24" s="10">
        <v>2022.0</v>
      </c>
      <c r="B24" s="10" t="s">
        <v>10</v>
      </c>
      <c r="C24" s="11" t="s">
        <v>56</v>
      </c>
      <c r="D24" s="11" t="s">
        <v>72</v>
      </c>
      <c r="E24" s="11" t="s">
        <v>75</v>
      </c>
      <c r="F24" s="11" t="s">
        <v>76</v>
      </c>
      <c r="G24" s="12">
        <v>0.0</v>
      </c>
      <c r="H24" s="12">
        <f>150+1000+400</f>
        <v>1550</v>
      </c>
      <c r="I24" s="10">
        <f>384+178+524</f>
        <v>1086</v>
      </c>
      <c r="J24" s="11" t="s">
        <v>60</v>
      </c>
    </row>
    <row r="25" ht="42.0" customHeight="1">
      <c r="A25" s="10">
        <v>2022.0</v>
      </c>
      <c r="B25" s="10" t="s">
        <v>10</v>
      </c>
      <c r="C25" s="11" t="s">
        <v>56</v>
      </c>
      <c r="D25" s="11" t="s">
        <v>72</v>
      </c>
      <c r="E25" s="11" t="s">
        <v>77</v>
      </c>
      <c r="F25" s="11" t="s">
        <v>78</v>
      </c>
      <c r="G25" s="12">
        <v>0.0</v>
      </c>
      <c r="H25" s="12">
        <f>0+1+1</f>
        <v>2</v>
      </c>
      <c r="I25" s="10">
        <f>2+2+3</f>
        <v>7</v>
      </c>
      <c r="J25" s="11" t="s">
        <v>60</v>
      </c>
    </row>
    <row r="26" ht="40.5" customHeight="1">
      <c r="A26" s="10">
        <v>2022.0</v>
      </c>
      <c r="B26" s="10" t="s">
        <v>10</v>
      </c>
      <c r="C26" s="11" t="s">
        <v>56</v>
      </c>
      <c r="D26" s="11" t="s">
        <v>79</v>
      </c>
      <c r="E26" s="11" t="s">
        <v>80</v>
      </c>
      <c r="F26" s="11" t="s">
        <v>81</v>
      </c>
      <c r="G26" s="12">
        <v>0.0</v>
      </c>
      <c r="H26" s="12">
        <f t="shared" ref="H26:H28" si="4">0+10+20</f>
        <v>30</v>
      </c>
      <c r="I26" s="10">
        <f t="shared" ref="I26:I27" si="5">0+0+0</f>
        <v>0</v>
      </c>
      <c r="J26" s="11" t="s">
        <v>60</v>
      </c>
    </row>
    <row r="27" ht="40.5" customHeight="1">
      <c r="A27" s="10">
        <v>2022.0</v>
      </c>
      <c r="B27" s="10" t="s">
        <v>10</v>
      </c>
      <c r="C27" s="11" t="s">
        <v>56</v>
      </c>
      <c r="D27" s="11" t="s">
        <v>79</v>
      </c>
      <c r="E27" s="11" t="s">
        <v>82</v>
      </c>
      <c r="F27" s="11" t="s">
        <v>83</v>
      </c>
      <c r="G27" s="12">
        <v>0.0</v>
      </c>
      <c r="H27" s="12">
        <f t="shared" si="4"/>
        <v>30</v>
      </c>
      <c r="I27" s="10">
        <f t="shared" si="5"/>
        <v>0</v>
      </c>
      <c r="J27" s="11" t="s">
        <v>60</v>
      </c>
    </row>
    <row r="28" ht="40.5" customHeight="1">
      <c r="A28" s="10">
        <v>2022.0</v>
      </c>
      <c r="B28" s="10" t="s">
        <v>10</v>
      </c>
      <c r="C28" s="11" t="s">
        <v>56</v>
      </c>
      <c r="D28" s="11" t="s">
        <v>79</v>
      </c>
      <c r="E28" s="11" t="s">
        <v>84</v>
      </c>
      <c r="F28" s="11" t="s">
        <v>85</v>
      </c>
      <c r="G28" s="12">
        <v>0.0</v>
      </c>
      <c r="H28" s="12">
        <f t="shared" si="4"/>
        <v>30</v>
      </c>
      <c r="I28" s="10">
        <f>14+7+15</f>
        <v>36</v>
      </c>
      <c r="J28" s="11" t="s">
        <v>60</v>
      </c>
    </row>
    <row r="29" ht="40.5" customHeight="1">
      <c r="A29" s="10">
        <v>2022.0</v>
      </c>
      <c r="B29" s="10" t="s">
        <v>10</v>
      </c>
      <c r="C29" s="11" t="s">
        <v>56</v>
      </c>
      <c r="D29" s="11" t="s">
        <v>79</v>
      </c>
      <c r="E29" s="11" t="s">
        <v>86</v>
      </c>
      <c r="F29" s="11" t="s">
        <v>87</v>
      </c>
      <c r="G29" s="12">
        <v>0.0</v>
      </c>
      <c r="H29" s="12">
        <f t="shared" ref="H29:I29" si="6">0+0+0</f>
        <v>0</v>
      </c>
      <c r="I29" s="10">
        <f t="shared" si="6"/>
        <v>0</v>
      </c>
      <c r="J29" s="11" t="s">
        <v>60</v>
      </c>
    </row>
    <row r="30" ht="40.5" customHeight="1">
      <c r="A30" s="10">
        <v>2022.0</v>
      </c>
      <c r="B30" s="10" t="s">
        <v>10</v>
      </c>
      <c r="C30" s="11" t="s">
        <v>56</v>
      </c>
      <c r="D30" s="11" t="s">
        <v>79</v>
      </c>
      <c r="E30" s="11" t="s">
        <v>88</v>
      </c>
      <c r="F30" s="11" t="s">
        <v>89</v>
      </c>
      <c r="G30" s="12">
        <v>0.0</v>
      </c>
      <c r="H30" s="12">
        <f t="shared" ref="H30:I30" si="7">0+0+0</f>
        <v>0</v>
      </c>
      <c r="I30" s="10">
        <f t="shared" si="7"/>
        <v>0</v>
      </c>
      <c r="J30" s="11" t="s">
        <v>60</v>
      </c>
    </row>
    <row r="31" ht="15.75" customHeight="1">
      <c r="A31" s="10">
        <v>2022.0</v>
      </c>
      <c r="B31" s="10" t="s">
        <v>10</v>
      </c>
      <c r="C31" s="11" t="s">
        <v>56</v>
      </c>
      <c r="D31" s="11" t="s">
        <v>90</v>
      </c>
      <c r="E31" s="11" t="s">
        <v>91</v>
      </c>
      <c r="F31" s="11" t="s">
        <v>92</v>
      </c>
      <c r="G31" s="12" t="s">
        <v>93</v>
      </c>
      <c r="H31" s="12">
        <f>9000+8000+9000</f>
        <v>26000</v>
      </c>
      <c r="I31" s="10">
        <f>9450+7665+9712.5</f>
        <v>26827.5</v>
      </c>
      <c r="J31" s="11" t="s">
        <v>94</v>
      </c>
    </row>
    <row r="32" ht="15.75" customHeight="1">
      <c r="A32" s="10">
        <v>2022.0</v>
      </c>
      <c r="B32" s="10" t="s">
        <v>10</v>
      </c>
      <c r="C32" s="11" t="s">
        <v>56</v>
      </c>
      <c r="D32" s="11" t="s">
        <v>90</v>
      </c>
      <c r="E32" s="11" t="s">
        <v>95</v>
      </c>
      <c r="F32" s="11" t="s">
        <v>96</v>
      </c>
      <c r="G32" s="12">
        <v>0.0</v>
      </c>
      <c r="H32" s="12">
        <f>100000+100000+100000</f>
        <v>300000</v>
      </c>
      <c r="I32" s="10">
        <f>6706+4386+4934</f>
        <v>16026</v>
      </c>
      <c r="J32" s="11" t="s">
        <v>94</v>
      </c>
    </row>
    <row r="33" ht="15.75" customHeight="1">
      <c r="A33" s="10">
        <v>2022.0</v>
      </c>
      <c r="B33" s="10" t="s">
        <v>10</v>
      </c>
      <c r="C33" s="11" t="s">
        <v>56</v>
      </c>
      <c r="D33" s="11" t="s">
        <v>90</v>
      </c>
      <c r="E33" s="11" t="s">
        <v>97</v>
      </c>
      <c r="F33" s="11" t="s">
        <v>98</v>
      </c>
      <c r="G33" s="12">
        <v>2.0</v>
      </c>
      <c r="H33" s="12">
        <f t="shared" ref="H33:I33" si="8">0+1+1</f>
        <v>2</v>
      </c>
      <c r="I33" s="10">
        <f t="shared" si="8"/>
        <v>2</v>
      </c>
      <c r="J33" s="11" t="s">
        <v>94</v>
      </c>
    </row>
    <row r="34" ht="15.75" customHeight="1">
      <c r="A34" s="10">
        <v>2022.0</v>
      </c>
      <c r="B34" s="10" t="s">
        <v>10</v>
      </c>
      <c r="C34" s="11" t="s">
        <v>56</v>
      </c>
      <c r="D34" s="13" t="s">
        <v>99</v>
      </c>
      <c r="E34" s="13" t="s">
        <v>100</v>
      </c>
      <c r="F34" s="13" t="s">
        <v>101</v>
      </c>
      <c r="G34" s="14">
        <v>0.0</v>
      </c>
      <c r="H34" s="15">
        <v>1500.0</v>
      </c>
      <c r="I34" s="16">
        <v>1634.0</v>
      </c>
      <c r="J34" s="11" t="s">
        <v>94</v>
      </c>
    </row>
    <row r="35" ht="15.75" customHeight="1">
      <c r="A35" s="10">
        <v>2022.0</v>
      </c>
      <c r="B35" s="10" t="s">
        <v>10</v>
      </c>
      <c r="C35" s="11" t="s">
        <v>56</v>
      </c>
      <c r="D35" s="13" t="s">
        <v>99</v>
      </c>
      <c r="E35" s="13" t="s">
        <v>102</v>
      </c>
      <c r="F35" s="13" t="s">
        <v>81</v>
      </c>
      <c r="G35" s="14">
        <v>0.0</v>
      </c>
      <c r="H35" s="14">
        <v>50.0</v>
      </c>
      <c r="I35" s="16">
        <v>65.0</v>
      </c>
      <c r="J35" s="11" t="s">
        <v>94</v>
      </c>
    </row>
    <row r="36" ht="15.75" customHeight="1">
      <c r="A36" s="10">
        <v>2022.0</v>
      </c>
      <c r="B36" s="10" t="s">
        <v>10</v>
      </c>
      <c r="C36" s="11" t="s">
        <v>56</v>
      </c>
      <c r="D36" s="13" t="s">
        <v>99</v>
      </c>
      <c r="E36" s="13" t="s">
        <v>103</v>
      </c>
      <c r="F36" s="13" t="s">
        <v>104</v>
      </c>
      <c r="G36" s="14">
        <v>0.0</v>
      </c>
      <c r="H36" s="14">
        <v>20.0</v>
      </c>
      <c r="I36" s="16">
        <v>0.0</v>
      </c>
      <c r="J36" s="11" t="s">
        <v>94</v>
      </c>
    </row>
    <row r="37" ht="15.75" customHeight="1">
      <c r="A37" s="10">
        <v>2022.0</v>
      </c>
      <c r="B37" s="10" t="s">
        <v>10</v>
      </c>
      <c r="C37" s="11" t="s">
        <v>56</v>
      </c>
      <c r="D37" s="11" t="s">
        <v>105</v>
      </c>
      <c r="E37" s="11" t="s">
        <v>106</v>
      </c>
      <c r="F37" s="13" t="s">
        <v>107</v>
      </c>
      <c r="G37" s="12">
        <v>0.0</v>
      </c>
      <c r="H37" s="12">
        <f t="shared" ref="H37:I37" si="9">0+0+0</f>
        <v>0</v>
      </c>
      <c r="I37" s="10">
        <f t="shared" si="9"/>
        <v>0</v>
      </c>
      <c r="J37" s="11" t="s">
        <v>94</v>
      </c>
    </row>
    <row r="38" ht="67.5" customHeight="1">
      <c r="A38" s="10">
        <v>2022.0</v>
      </c>
      <c r="B38" s="10" t="s">
        <v>10</v>
      </c>
      <c r="C38" s="11" t="s">
        <v>56</v>
      </c>
      <c r="D38" s="11" t="s">
        <v>105</v>
      </c>
      <c r="E38" s="11" t="s">
        <v>108</v>
      </c>
      <c r="F38" s="11" t="s">
        <v>109</v>
      </c>
      <c r="G38" s="12">
        <v>0.0</v>
      </c>
      <c r="H38" s="12">
        <f t="shared" ref="H38:I38" si="10">0+0+0</f>
        <v>0</v>
      </c>
      <c r="I38" s="10">
        <f t="shared" si="10"/>
        <v>0</v>
      </c>
      <c r="J38" s="11" t="s">
        <v>94</v>
      </c>
    </row>
    <row r="39" ht="67.5" customHeight="1">
      <c r="A39" s="10">
        <v>2022.0</v>
      </c>
      <c r="B39" s="10" t="s">
        <v>10</v>
      </c>
      <c r="C39" s="11" t="s">
        <v>56</v>
      </c>
      <c r="D39" s="11" t="s">
        <v>105</v>
      </c>
      <c r="E39" s="11" t="s">
        <v>110</v>
      </c>
      <c r="F39" s="11" t="s">
        <v>111</v>
      </c>
      <c r="G39" s="12">
        <v>0.0</v>
      </c>
      <c r="H39" s="12">
        <f t="shared" ref="H39:I39" si="11">0+0+0</f>
        <v>0</v>
      </c>
      <c r="I39" s="10">
        <f t="shared" si="11"/>
        <v>0</v>
      </c>
      <c r="J39" s="11" t="s">
        <v>94</v>
      </c>
    </row>
    <row r="40" ht="67.5" customHeight="1">
      <c r="A40" s="10">
        <v>2022.0</v>
      </c>
      <c r="B40" s="10" t="s">
        <v>10</v>
      </c>
      <c r="C40" s="11" t="s">
        <v>56</v>
      </c>
      <c r="D40" s="11" t="s">
        <v>105</v>
      </c>
      <c r="E40" s="11" t="s">
        <v>112</v>
      </c>
      <c r="F40" s="11" t="s">
        <v>113</v>
      </c>
      <c r="G40" s="12">
        <v>0.0</v>
      </c>
      <c r="H40" s="12">
        <f t="shared" ref="H40:I40" si="12">0+0+0</f>
        <v>0</v>
      </c>
      <c r="I40" s="10">
        <f t="shared" si="12"/>
        <v>0</v>
      </c>
      <c r="J40" s="11" t="s">
        <v>94</v>
      </c>
    </row>
    <row r="41" ht="67.5" customHeight="1">
      <c r="A41" s="10">
        <v>2022.0</v>
      </c>
      <c r="B41" s="10" t="s">
        <v>10</v>
      </c>
      <c r="C41" s="11" t="s">
        <v>56</v>
      </c>
      <c r="D41" s="11" t="s">
        <v>105</v>
      </c>
      <c r="E41" s="11" t="s">
        <v>114</v>
      </c>
      <c r="F41" s="11" t="s">
        <v>113</v>
      </c>
      <c r="G41" s="12">
        <v>0.0</v>
      </c>
      <c r="H41" s="12">
        <f t="shared" ref="H41:I41" si="13">0+0+0</f>
        <v>0</v>
      </c>
      <c r="I41" s="10">
        <f t="shared" si="13"/>
        <v>0</v>
      </c>
      <c r="J41" s="11" t="s">
        <v>94</v>
      </c>
    </row>
    <row r="42" ht="15.75" customHeight="1">
      <c r="A42" s="10">
        <v>2022.0</v>
      </c>
      <c r="B42" s="10" t="s">
        <v>10</v>
      </c>
      <c r="C42" s="11" t="s">
        <v>56</v>
      </c>
      <c r="D42" s="11" t="s">
        <v>115</v>
      </c>
      <c r="E42" s="11" t="s">
        <v>116</v>
      </c>
      <c r="F42" s="11" t="s">
        <v>117</v>
      </c>
      <c r="G42" s="12">
        <v>0.0</v>
      </c>
      <c r="H42" s="12">
        <f>10+10+15</f>
        <v>35</v>
      </c>
      <c r="I42" s="10">
        <f>26+25+26</f>
        <v>77</v>
      </c>
      <c r="J42" s="11" t="s">
        <v>94</v>
      </c>
    </row>
    <row r="43" ht="15.75" customHeight="1">
      <c r="A43" s="10">
        <v>2022.0</v>
      </c>
      <c r="B43" s="10" t="s">
        <v>10</v>
      </c>
      <c r="C43" s="11" t="s">
        <v>56</v>
      </c>
      <c r="D43" s="11" t="s">
        <v>115</v>
      </c>
      <c r="E43" s="11" t="s">
        <v>118</v>
      </c>
      <c r="F43" s="11" t="s">
        <v>119</v>
      </c>
      <c r="G43" s="12">
        <v>0.0</v>
      </c>
      <c r="H43" s="12">
        <f>1+2+2</f>
        <v>5</v>
      </c>
      <c r="I43" s="10">
        <f>0+2+0</f>
        <v>2</v>
      </c>
      <c r="J43" s="11" t="s">
        <v>94</v>
      </c>
    </row>
    <row r="44" ht="67.5" customHeight="1">
      <c r="A44" s="10">
        <v>2022.0</v>
      </c>
      <c r="B44" s="10" t="s">
        <v>10</v>
      </c>
      <c r="C44" s="11" t="s">
        <v>56</v>
      </c>
      <c r="D44" s="11" t="s">
        <v>115</v>
      </c>
      <c r="E44" s="11" t="s">
        <v>120</v>
      </c>
      <c r="F44" s="11" t="s">
        <v>121</v>
      </c>
      <c r="G44" s="12">
        <v>0.0</v>
      </c>
      <c r="H44" s="12">
        <f t="shared" ref="H44:I44" si="14">0+0+0</f>
        <v>0</v>
      </c>
      <c r="I44" s="10">
        <f t="shared" si="14"/>
        <v>0</v>
      </c>
      <c r="J44" s="11" t="s">
        <v>94</v>
      </c>
    </row>
    <row r="45" ht="67.5" customHeight="1">
      <c r="A45" s="10">
        <v>2022.0</v>
      </c>
      <c r="B45" s="10" t="s">
        <v>10</v>
      </c>
      <c r="C45" s="11" t="s">
        <v>56</v>
      </c>
      <c r="D45" s="11" t="s">
        <v>115</v>
      </c>
      <c r="E45" s="11" t="s">
        <v>122</v>
      </c>
      <c r="F45" s="11" t="s">
        <v>123</v>
      </c>
      <c r="G45" s="12">
        <v>0.0</v>
      </c>
      <c r="H45" s="12">
        <f>23060+23060+23060</f>
        <v>69180</v>
      </c>
      <c r="I45" s="10">
        <f>19611+45844+6924</f>
        <v>72379</v>
      </c>
      <c r="J45" s="11" t="s">
        <v>94</v>
      </c>
    </row>
    <row r="46" ht="67.5" customHeight="1">
      <c r="A46" s="10">
        <v>2022.0</v>
      </c>
      <c r="B46" s="10" t="s">
        <v>10</v>
      </c>
      <c r="C46" s="11" t="s">
        <v>56</v>
      </c>
      <c r="D46" s="11" t="s">
        <v>124</v>
      </c>
      <c r="E46" s="11" t="s">
        <v>125</v>
      </c>
      <c r="F46" s="11" t="s">
        <v>126</v>
      </c>
      <c r="G46" s="12">
        <v>0.0</v>
      </c>
      <c r="H46" s="12">
        <f>50+50+0</f>
        <v>100</v>
      </c>
      <c r="I46" s="10">
        <f>50+50</f>
        <v>100</v>
      </c>
      <c r="J46" s="11" t="s">
        <v>127</v>
      </c>
    </row>
    <row r="47" ht="67.5" customHeight="1">
      <c r="A47" s="10">
        <v>2022.0</v>
      </c>
      <c r="B47" s="10" t="s">
        <v>10</v>
      </c>
      <c r="C47" s="11" t="s">
        <v>56</v>
      </c>
      <c r="D47" s="11" t="s">
        <v>124</v>
      </c>
      <c r="E47" s="11" t="s">
        <v>128</v>
      </c>
      <c r="F47" s="11" t="s">
        <v>129</v>
      </c>
      <c r="G47" s="12">
        <v>0.0</v>
      </c>
      <c r="H47" s="12">
        <f>0+0+50</f>
        <v>50</v>
      </c>
      <c r="I47" s="10">
        <f>0+0+0</f>
        <v>0</v>
      </c>
      <c r="J47" s="11" t="s">
        <v>127</v>
      </c>
    </row>
    <row r="48" ht="67.5" customHeight="1">
      <c r="A48" s="10">
        <v>2022.0</v>
      </c>
      <c r="B48" s="10" t="s">
        <v>10</v>
      </c>
      <c r="C48" s="11" t="s">
        <v>56</v>
      </c>
      <c r="D48" s="11" t="s">
        <v>124</v>
      </c>
      <c r="E48" s="11" t="s">
        <v>130</v>
      </c>
      <c r="F48" s="11" t="s">
        <v>131</v>
      </c>
      <c r="G48" s="12">
        <v>0.0</v>
      </c>
      <c r="H48" s="12">
        <f t="shared" ref="H48:I48" si="15">0+0+0</f>
        <v>0</v>
      </c>
      <c r="I48" s="10">
        <f t="shared" si="15"/>
        <v>0</v>
      </c>
      <c r="J48" s="11" t="s">
        <v>127</v>
      </c>
    </row>
    <row r="49" ht="67.5" customHeight="1">
      <c r="A49" s="10">
        <v>2022.0</v>
      </c>
      <c r="B49" s="10" t="s">
        <v>10</v>
      </c>
      <c r="C49" s="11" t="s">
        <v>56</v>
      </c>
      <c r="D49" s="11" t="s">
        <v>124</v>
      </c>
      <c r="E49" s="11" t="s">
        <v>132</v>
      </c>
      <c r="F49" s="11" t="s">
        <v>133</v>
      </c>
      <c r="G49" s="12">
        <v>0.0</v>
      </c>
      <c r="H49" s="12">
        <f t="shared" ref="H49:I49" si="16">0+0+0</f>
        <v>0</v>
      </c>
      <c r="I49" s="10">
        <f t="shared" si="16"/>
        <v>0</v>
      </c>
      <c r="J49" s="11" t="s">
        <v>127</v>
      </c>
    </row>
    <row r="50" ht="15.75" customHeight="1">
      <c r="A50" s="10">
        <v>2022.0</v>
      </c>
      <c r="B50" s="10" t="s">
        <v>10</v>
      </c>
      <c r="C50" s="11" t="s">
        <v>56</v>
      </c>
      <c r="D50" s="13" t="s">
        <v>134</v>
      </c>
      <c r="E50" s="13" t="s">
        <v>135</v>
      </c>
      <c r="F50" s="13" t="s">
        <v>136</v>
      </c>
      <c r="G50" s="14">
        <v>1881.0</v>
      </c>
      <c r="H50" s="14">
        <v>600.0</v>
      </c>
      <c r="I50" s="16">
        <v>897.0</v>
      </c>
      <c r="J50" s="11" t="s">
        <v>127</v>
      </c>
    </row>
    <row r="51" ht="15.75" customHeight="1">
      <c r="A51" s="10">
        <v>2022.0</v>
      </c>
      <c r="B51" s="10" t="s">
        <v>10</v>
      </c>
      <c r="C51" s="11" t="s">
        <v>56</v>
      </c>
      <c r="D51" s="13" t="s">
        <v>134</v>
      </c>
      <c r="E51" s="13" t="s">
        <v>137</v>
      </c>
      <c r="F51" s="13" t="s">
        <v>138</v>
      </c>
      <c r="G51" s="14">
        <v>630.0</v>
      </c>
      <c r="H51" s="14">
        <v>160.0</v>
      </c>
      <c r="I51" s="16">
        <v>897.0</v>
      </c>
      <c r="J51" s="11" t="s">
        <v>127</v>
      </c>
    </row>
    <row r="52" ht="15.75" customHeight="1">
      <c r="A52" s="10">
        <v>2022.0</v>
      </c>
      <c r="B52" s="10" t="s">
        <v>10</v>
      </c>
      <c r="C52" s="11" t="s">
        <v>56</v>
      </c>
      <c r="D52" s="13" t="s">
        <v>134</v>
      </c>
      <c r="E52" s="13" t="s">
        <v>139</v>
      </c>
      <c r="F52" s="13" t="s">
        <v>140</v>
      </c>
      <c r="G52" s="14">
        <v>317.0</v>
      </c>
      <c r="H52" s="14">
        <v>45.0</v>
      </c>
      <c r="I52" s="16">
        <v>600.0</v>
      </c>
      <c r="J52" s="11" t="s">
        <v>127</v>
      </c>
    </row>
    <row r="53" ht="15.75" customHeight="1">
      <c r="A53" s="10">
        <v>2022.0</v>
      </c>
      <c r="B53" s="10" t="s">
        <v>10</v>
      </c>
      <c r="C53" s="11" t="s">
        <v>11</v>
      </c>
      <c r="D53" s="11" t="s">
        <v>141</v>
      </c>
      <c r="E53" s="11" t="s">
        <v>142</v>
      </c>
      <c r="F53" s="11" t="s">
        <v>143</v>
      </c>
      <c r="G53" s="12">
        <v>1968.0</v>
      </c>
      <c r="H53" s="12">
        <f>52+80+86</f>
        <v>218</v>
      </c>
      <c r="I53" s="10">
        <f>174+231+423</f>
        <v>828</v>
      </c>
      <c r="J53" s="11" t="s">
        <v>144</v>
      </c>
    </row>
    <row r="54" ht="15.75" customHeight="1">
      <c r="A54" s="10">
        <v>2022.0</v>
      </c>
      <c r="B54" s="12" t="s">
        <v>10</v>
      </c>
      <c r="C54" s="11" t="s">
        <v>11</v>
      </c>
      <c r="D54" s="11" t="s">
        <v>145</v>
      </c>
      <c r="E54" s="17" t="s">
        <v>146</v>
      </c>
      <c r="F54" s="17" t="s">
        <v>147</v>
      </c>
      <c r="G54" s="12">
        <v>3960.0</v>
      </c>
      <c r="H54" s="12">
        <f>350+350+350</f>
        <v>1050</v>
      </c>
      <c r="I54" s="12">
        <f>317+379+916</f>
        <v>1612</v>
      </c>
      <c r="J54" s="18" t="s">
        <v>148</v>
      </c>
    </row>
    <row r="55" ht="15.75" customHeight="1">
      <c r="A55" s="10">
        <v>2022.0</v>
      </c>
      <c r="B55" s="12" t="s">
        <v>10</v>
      </c>
      <c r="C55" s="11" t="s">
        <v>11</v>
      </c>
      <c r="D55" s="11" t="s">
        <v>149</v>
      </c>
      <c r="E55" s="17" t="s">
        <v>150</v>
      </c>
      <c r="F55" s="17" t="s">
        <v>151</v>
      </c>
      <c r="G55" s="12">
        <v>9131.0</v>
      </c>
      <c r="H55" s="12">
        <f t="shared" ref="H55:I55" si="17">730+839+653</f>
        <v>2222</v>
      </c>
      <c r="I55" s="12">
        <f t="shared" si="17"/>
        <v>2222</v>
      </c>
      <c r="J55" s="17" t="s">
        <v>148</v>
      </c>
    </row>
    <row r="56" ht="15.75" customHeight="1">
      <c r="A56" s="10">
        <v>2022.0</v>
      </c>
      <c r="B56" s="12" t="s">
        <v>10</v>
      </c>
      <c r="C56" s="11" t="s">
        <v>11</v>
      </c>
      <c r="D56" s="11" t="s">
        <v>149</v>
      </c>
      <c r="E56" s="17" t="s">
        <v>152</v>
      </c>
      <c r="F56" s="17" t="s">
        <v>153</v>
      </c>
      <c r="G56" s="12">
        <v>6812.0</v>
      </c>
      <c r="H56" s="12">
        <f t="shared" ref="H56:I56" si="18">573+559+559</f>
        <v>1691</v>
      </c>
      <c r="I56" s="12">
        <f t="shared" si="18"/>
        <v>1691</v>
      </c>
      <c r="J56" s="17" t="s">
        <v>148</v>
      </c>
    </row>
    <row r="57" ht="15.75" customHeight="1">
      <c r="A57" s="10">
        <v>2022.0</v>
      </c>
      <c r="B57" s="12" t="s">
        <v>10</v>
      </c>
      <c r="C57" s="11" t="s">
        <v>11</v>
      </c>
      <c r="D57" s="11" t="s">
        <v>149</v>
      </c>
      <c r="E57" s="17" t="s">
        <v>154</v>
      </c>
      <c r="F57" s="17" t="s">
        <v>155</v>
      </c>
      <c r="G57" s="12">
        <v>168.0</v>
      </c>
      <c r="H57" s="12">
        <f t="shared" ref="H57:I57" si="19">11+11+11</f>
        <v>33</v>
      </c>
      <c r="I57" s="12">
        <f t="shared" si="19"/>
        <v>33</v>
      </c>
      <c r="J57" s="17" t="s">
        <v>148</v>
      </c>
    </row>
    <row r="58" ht="15.75" customHeight="1">
      <c r="A58" s="10">
        <v>2022.0</v>
      </c>
      <c r="B58" s="12" t="s">
        <v>10</v>
      </c>
      <c r="C58" s="11" t="s">
        <v>11</v>
      </c>
      <c r="D58" s="11" t="s">
        <v>156</v>
      </c>
      <c r="E58" s="17" t="s">
        <v>157</v>
      </c>
      <c r="F58" s="19" t="s">
        <v>158</v>
      </c>
      <c r="G58" s="12">
        <v>4250.0</v>
      </c>
      <c r="H58" s="12">
        <f>250+500+500</f>
        <v>1250</v>
      </c>
      <c r="I58" s="12">
        <f>500+700+800</f>
        <v>2000</v>
      </c>
      <c r="J58" s="17" t="s">
        <v>148</v>
      </c>
    </row>
    <row r="59" ht="15.75" customHeight="1">
      <c r="A59" s="10">
        <v>2022.0</v>
      </c>
      <c r="B59" s="12" t="s">
        <v>10</v>
      </c>
      <c r="C59" s="11" t="s">
        <v>11</v>
      </c>
      <c r="D59" s="11" t="s">
        <v>159</v>
      </c>
      <c r="E59" s="17" t="s">
        <v>160</v>
      </c>
      <c r="F59" s="17" t="s">
        <v>161</v>
      </c>
      <c r="G59" s="12">
        <v>1300.0</v>
      </c>
      <c r="H59" s="12">
        <f>50+400+30</f>
        <v>480</v>
      </c>
      <c r="I59" s="12">
        <f>58+401+39</f>
        <v>498</v>
      </c>
      <c r="J59" s="17" t="s">
        <v>148</v>
      </c>
    </row>
    <row r="60" ht="67.5" customHeight="1">
      <c r="A60" s="10">
        <v>2022.0</v>
      </c>
      <c r="B60" s="12" t="s">
        <v>10</v>
      </c>
      <c r="C60" s="11" t="s">
        <v>11</v>
      </c>
      <c r="D60" s="11" t="s">
        <v>162</v>
      </c>
      <c r="E60" s="17" t="s">
        <v>163</v>
      </c>
      <c r="F60" s="17" t="s">
        <v>164</v>
      </c>
      <c r="G60" s="12">
        <v>842.0</v>
      </c>
      <c r="H60" s="12">
        <f>19+26+172</f>
        <v>217</v>
      </c>
      <c r="I60" s="12">
        <f>20+24+76</f>
        <v>120</v>
      </c>
      <c r="J60" s="17" t="s">
        <v>165</v>
      </c>
    </row>
    <row r="61" ht="68.25" customHeight="1">
      <c r="A61" s="10">
        <v>2022.0</v>
      </c>
      <c r="B61" s="12" t="s">
        <v>10</v>
      </c>
      <c r="C61" s="11" t="s">
        <v>11</v>
      </c>
      <c r="D61" s="11" t="s">
        <v>162</v>
      </c>
      <c r="E61" s="17" t="s">
        <v>166</v>
      </c>
      <c r="F61" s="17" t="s">
        <v>167</v>
      </c>
      <c r="G61" s="20">
        <v>1.0</v>
      </c>
      <c r="H61" s="20">
        <f>25%</f>
        <v>0.25</v>
      </c>
      <c r="I61" s="20">
        <v>0.25</v>
      </c>
      <c r="J61" s="17" t="s">
        <v>165</v>
      </c>
    </row>
    <row r="62" ht="67.5" customHeight="1">
      <c r="A62" s="10">
        <v>2022.0</v>
      </c>
      <c r="B62" s="12" t="s">
        <v>10</v>
      </c>
      <c r="C62" s="11" t="s">
        <v>11</v>
      </c>
      <c r="D62" s="11" t="s">
        <v>168</v>
      </c>
      <c r="E62" s="17" t="s">
        <v>169</v>
      </c>
      <c r="F62" s="17" t="s">
        <v>170</v>
      </c>
      <c r="G62" s="12">
        <v>280.0</v>
      </c>
      <c r="H62" s="12">
        <f t="shared" ref="H62:H63" si="20">43+11+15</f>
        <v>69</v>
      </c>
      <c r="I62" s="12">
        <f t="shared" ref="I62:I63" si="21">21+13+14</f>
        <v>48</v>
      </c>
      <c r="J62" s="17" t="s">
        <v>171</v>
      </c>
    </row>
    <row r="63" ht="67.5" customHeight="1">
      <c r="A63" s="10">
        <v>2022.0</v>
      </c>
      <c r="B63" s="12" t="s">
        <v>10</v>
      </c>
      <c r="C63" s="11" t="s">
        <v>11</v>
      </c>
      <c r="D63" s="11" t="s">
        <v>168</v>
      </c>
      <c r="E63" s="17" t="s">
        <v>172</v>
      </c>
      <c r="F63" s="17" t="s">
        <v>173</v>
      </c>
      <c r="G63" s="12">
        <v>280.0</v>
      </c>
      <c r="H63" s="12">
        <f t="shared" si="20"/>
        <v>69</v>
      </c>
      <c r="I63" s="12">
        <f t="shared" si="21"/>
        <v>48</v>
      </c>
      <c r="J63" s="17" t="s">
        <v>171</v>
      </c>
    </row>
    <row r="64" ht="67.5" customHeight="1">
      <c r="A64" s="10">
        <v>2022.0</v>
      </c>
      <c r="B64" s="12" t="s">
        <v>10</v>
      </c>
      <c r="C64" s="11" t="s">
        <v>11</v>
      </c>
      <c r="D64" s="11" t="s">
        <v>168</v>
      </c>
      <c r="E64" s="17" t="s">
        <v>174</v>
      </c>
      <c r="F64" s="17" t="s">
        <v>175</v>
      </c>
      <c r="G64" s="12">
        <v>257.0</v>
      </c>
      <c r="H64" s="12">
        <f>43+11+14</f>
        <v>68</v>
      </c>
      <c r="I64" s="12">
        <f>8+1+11</f>
        <v>20</v>
      </c>
      <c r="J64" s="17" t="s">
        <v>171</v>
      </c>
    </row>
    <row r="65" ht="15.75" customHeight="1">
      <c r="A65" s="10">
        <v>2022.0</v>
      </c>
      <c r="B65" s="12" t="s">
        <v>10</v>
      </c>
      <c r="C65" s="11" t="s">
        <v>11</v>
      </c>
      <c r="D65" s="11" t="s">
        <v>176</v>
      </c>
      <c r="E65" s="17" t="s">
        <v>177</v>
      </c>
      <c r="F65" s="17" t="s">
        <v>178</v>
      </c>
      <c r="G65" s="12">
        <v>900.0</v>
      </c>
      <c r="H65" s="12">
        <f>0+90+90</f>
        <v>180</v>
      </c>
      <c r="I65" s="12">
        <f>0+0+0</f>
        <v>0</v>
      </c>
      <c r="J65" s="17" t="s">
        <v>179</v>
      </c>
    </row>
    <row r="66" ht="15.75" customHeight="1">
      <c r="A66" s="10">
        <v>2022.0</v>
      </c>
      <c r="B66" s="12" t="s">
        <v>10</v>
      </c>
      <c r="C66" s="11" t="s">
        <v>11</v>
      </c>
      <c r="D66" s="11" t="s">
        <v>176</v>
      </c>
      <c r="E66" s="17" t="s">
        <v>180</v>
      </c>
      <c r="F66" s="17" t="s">
        <v>181</v>
      </c>
      <c r="G66" s="12">
        <v>190.0</v>
      </c>
      <c r="H66" s="12">
        <f>5+10+15</f>
        <v>30</v>
      </c>
      <c r="I66" s="12">
        <f>10+12+14</f>
        <v>36</v>
      </c>
      <c r="J66" s="17" t="s">
        <v>179</v>
      </c>
    </row>
    <row r="67" ht="74.25" customHeight="1">
      <c r="A67" s="10">
        <v>2022.0</v>
      </c>
      <c r="B67" s="12" t="s">
        <v>10</v>
      </c>
      <c r="C67" s="11" t="s">
        <v>11</v>
      </c>
      <c r="D67" s="11" t="s">
        <v>176</v>
      </c>
      <c r="E67" s="17" t="s">
        <v>182</v>
      </c>
      <c r="F67" s="17" t="s">
        <v>183</v>
      </c>
      <c r="G67" s="12">
        <v>36600.0</v>
      </c>
      <c r="H67" s="12">
        <f>3050+3050+3050</f>
        <v>9150</v>
      </c>
      <c r="I67" s="12">
        <f>2900+2900+2905</f>
        <v>8705</v>
      </c>
      <c r="J67" s="17" t="s">
        <v>179</v>
      </c>
    </row>
    <row r="68" ht="15.75" customHeight="1">
      <c r="A68" s="10">
        <v>2022.0</v>
      </c>
      <c r="B68" s="12" t="s">
        <v>10</v>
      </c>
      <c r="C68" s="11" t="s">
        <v>56</v>
      </c>
      <c r="D68" s="11" t="s">
        <v>184</v>
      </c>
      <c r="E68" s="17" t="s">
        <v>185</v>
      </c>
      <c r="F68" s="17" t="s">
        <v>186</v>
      </c>
      <c r="G68" s="12">
        <v>0.0</v>
      </c>
      <c r="H68" s="12">
        <f>1050+1050+1050</f>
        <v>3150</v>
      </c>
      <c r="I68" s="12">
        <f>1561+1259+745</f>
        <v>3565</v>
      </c>
      <c r="J68" s="17" t="s">
        <v>184</v>
      </c>
    </row>
    <row r="69" ht="57.0" customHeight="1">
      <c r="A69" s="10">
        <v>2022.0</v>
      </c>
      <c r="B69" s="12" t="s">
        <v>10</v>
      </c>
      <c r="C69" s="11" t="s">
        <v>56</v>
      </c>
      <c r="D69" s="11" t="s">
        <v>184</v>
      </c>
      <c r="E69" s="17" t="s">
        <v>187</v>
      </c>
      <c r="F69" s="17" t="s">
        <v>188</v>
      </c>
      <c r="G69" s="12">
        <v>79.0</v>
      </c>
      <c r="H69" s="12">
        <f>0+12+7</f>
        <v>19</v>
      </c>
      <c r="I69" s="12">
        <f>0+0+9</f>
        <v>9</v>
      </c>
      <c r="J69" s="17" t="s">
        <v>184</v>
      </c>
    </row>
    <row r="70" ht="15.75" customHeight="1">
      <c r="A70" s="10">
        <v>2022.0</v>
      </c>
      <c r="B70" s="12" t="s">
        <v>10</v>
      </c>
      <c r="C70" s="11" t="s">
        <v>56</v>
      </c>
      <c r="D70" s="11" t="s">
        <v>189</v>
      </c>
      <c r="E70" s="17" t="s">
        <v>190</v>
      </c>
      <c r="F70" s="17" t="s">
        <v>191</v>
      </c>
      <c r="G70" s="12">
        <v>30.0</v>
      </c>
      <c r="H70" s="12">
        <f>10+2+15</f>
        <v>27</v>
      </c>
      <c r="I70" s="12">
        <f>0+0+0</f>
        <v>0</v>
      </c>
      <c r="J70" s="17" t="s">
        <v>192</v>
      </c>
    </row>
    <row r="71" ht="67.5" customHeight="1">
      <c r="A71" s="10">
        <v>2022.0</v>
      </c>
      <c r="B71" s="12" t="s">
        <v>10</v>
      </c>
      <c r="C71" s="11" t="s">
        <v>11</v>
      </c>
      <c r="D71" s="11" t="s">
        <v>193</v>
      </c>
      <c r="E71" s="17" t="s">
        <v>194</v>
      </c>
      <c r="F71" s="17" t="s">
        <v>195</v>
      </c>
      <c r="G71" s="12">
        <v>20.0</v>
      </c>
      <c r="H71" s="12">
        <f t="shared" ref="H71:I71" si="22">3+3+3</f>
        <v>9</v>
      </c>
      <c r="I71" s="12">
        <f t="shared" si="22"/>
        <v>9</v>
      </c>
      <c r="J71" s="17" t="s">
        <v>196</v>
      </c>
    </row>
    <row r="72" ht="67.5" customHeight="1">
      <c r="A72" s="10">
        <v>2022.0</v>
      </c>
      <c r="B72" s="12" t="s">
        <v>10</v>
      </c>
      <c r="C72" s="11" t="s">
        <v>11</v>
      </c>
      <c r="D72" s="11" t="s">
        <v>197</v>
      </c>
      <c r="E72" s="17" t="s">
        <v>198</v>
      </c>
      <c r="F72" s="17" t="s">
        <v>199</v>
      </c>
      <c r="G72" s="12">
        <v>21.0</v>
      </c>
      <c r="H72" s="12">
        <f>10+11+5</f>
        <v>26</v>
      </c>
      <c r="I72" s="12">
        <f>0+0+21</f>
        <v>21</v>
      </c>
      <c r="J72" s="17" t="s">
        <v>200</v>
      </c>
    </row>
    <row r="73" ht="67.5" customHeight="1">
      <c r="A73" s="10">
        <v>2022.0</v>
      </c>
      <c r="B73" s="12" t="s">
        <v>10</v>
      </c>
      <c r="C73" s="11" t="s">
        <v>11</v>
      </c>
      <c r="D73" s="11" t="s">
        <v>197</v>
      </c>
      <c r="E73" s="17" t="s">
        <v>201</v>
      </c>
      <c r="F73" s="17" t="s">
        <v>202</v>
      </c>
      <c r="G73" s="12">
        <v>0.0</v>
      </c>
      <c r="H73" s="12">
        <f>1+1+1</f>
        <v>3</v>
      </c>
      <c r="I73" s="12">
        <f>0+0+5</f>
        <v>5</v>
      </c>
      <c r="J73" s="17" t="s">
        <v>200</v>
      </c>
    </row>
    <row r="74" ht="67.5" customHeight="1">
      <c r="A74" s="10">
        <v>2022.0</v>
      </c>
      <c r="B74" s="12" t="s">
        <v>10</v>
      </c>
      <c r="C74" s="11" t="s">
        <v>11</v>
      </c>
      <c r="D74" s="11" t="s">
        <v>197</v>
      </c>
      <c r="E74" s="17" t="s">
        <v>203</v>
      </c>
      <c r="F74" s="19" t="s">
        <v>204</v>
      </c>
      <c r="G74" s="12">
        <v>0.0</v>
      </c>
      <c r="H74" s="12">
        <f t="shared" ref="H74:I74" si="23">0+0+0</f>
        <v>0</v>
      </c>
      <c r="I74" s="12">
        <f t="shared" si="23"/>
        <v>0</v>
      </c>
      <c r="J74" s="17" t="s">
        <v>200</v>
      </c>
    </row>
    <row r="75" ht="67.5" customHeight="1">
      <c r="A75" s="10">
        <v>2022.0</v>
      </c>
      <c r="B75" s="12" t="s">
        <v>10</v>
      </c>
      <c r="C75" s="11" t="s">
        <v>11</v>
      </c>
      <c r="D75" s="11" t="s">
        <v>205</v>
      </c>
      <c r="E75" s="17" t="s">
        <v>206</v>
      </c>
      <c r="F75" s="19" t="s">
        <v>207</v>
      </c>
      <c r="G75" s="12">
        <v>103.0</v>
      </c>
      <c r="H75" s="12">
        <f>7+8+9</f>
        <v>24</v>
      </c>
      <c r="I75" s="12">
        <f>7+8+10</f>
        <v>25</v>
      </c>
      <c r="J75" s="17" t="s">
        <v>208</v>
      </c>
    </row>
    <row r="76" ht="67.5" customHeight="1">
      <c r="A76" s="10">
        <v>2022.0</v>
      </c>
      <c r="B76" s="12" t="s">
        <v>10</v>
      </c>
      <c r="C76" s="11" t="s">
        <v>11</v>
      </c>
      <c r="D76" s="11" t="s">
        <v>205</v>
      </c>
      <c r="E76" s="17" t="s">
        <v>209</v>
      </c>
      <c r="F76" s="17" t="s">
        <v>210</v>
      </c>
      <c r="G76" s="12">
        <v>215.0</v>
      </c>
      <c r="H76" s="12">
        <f>26+26+21</f>
        <v>73</v>
      </c>
      <c r="I76" s="12">
        <f>16+26+13</f>
        <v>55</v>
      </c>
      <c r="J76" s="17" t="s">
        <v>208</v>
      </c>
    </row>
    <row r="77" ht="67.5" customHeight="1">
      <c r="A77" s="10">
        <v>2022.0</v>
      </c>
      <c r="B77" s="12" t="s">
        <v>10</v>
      </c>
      <c r="C77" s="11" t="s">
        <v>11</v>
      </c>
      <c r="D77" s="11" t="s">
        <v>211</v>
      </c>
      <c r="E77" s="17" t="s">
        <v>212</v>
      </c>
      <c r="F77" s="17" t="s">
        <v>213</v>
      </c>
      <c r="G77" s="12">
        <v>124.0</v>
      </c>
      <c r="H77" s="12">
        <f>20+25+10</f>
        <v>55</v>
      </c>
      <c r="I77" s="12">
        <f>3+4+4</f>
        <v>11</v>
      </c>
      <c r="J77" s="17" t="s">
        <v>208</v>
      </c>
    </row>
    <row r="78" ht="50.25" customHeight="1">
      <c r="A78" s="10">
        <v>2022.0</v>
      </c>
      <c r="B78" s="12" t="s">
        <v>10</v>
      </c>
      <c r="C78" s="11" t="s">
        <v>11</v>
      </c>
      <c r="D78" s="11" t="s">
        <v>214</v>
      </c>
      <c r="E78" s="17" t="s">
        <v>215</v>
      </c>
      <c r="F78" s="17" t="s">
        <v>216</v>
      </c>
      <c r="G78" s="12">
        <v>3422.0</v>
      </c>
      <c r="H78" s="12">
        <f>36+36+20</f>
        <v>92</v>
      </c>
      <c r="I78" s="12">
        <f>10+3+35</f>
        <v>48</v>
      </c>
      <c r="J78" s="17" t="s">
        <v>217</v>
      </c>
    </row>
    <row r="79" ht="61.5" customHeight="1">
      <c r="A79" s="10">
        <v>2022.0</v>
      </c>
      <c r="B79" s="12" t="s">
        <v>10</v>
      </c>
      <c r="C79" s="11" t="s">
        <v>11</v>
      </c>
      <c r="D79" s="11" t="s">
        <v>218</v>
      </c>
      <c r="E79" s="17" t="s">
        <v>219</v>
      </c>
      <c r="F79" s="17" t="s">
        <v>220</v>
      </c>
      <c r="G79" s="12">
        <v>3.0</v>
      </c>
      <c r="H79" s="12">
        <f>0+0+1</f>
        <v>1</v>
      </c>
      <c r="I79" s="12">
        <f t="shared" ref="I79:I80" si="24">0+0+0</f>
        <v>0</v>
      </c>
      <c r="J79" s="17" t="s">
        <v>221</v>
      </c>
    </row>
    <row r="80" ht="61.5" customHeight="1">
      <c r="A80" s="10">
        <v>2022.0</v>
      </c>
      <c r="B80" s="12" t="s">
        <v>222</v>
      </c>
      <c r="C80" s="11" t="s">
        <v>11</v>
      </c>
      <c r="D80" s="11" t="s">
        <v>218</v>
      </c>
      <c r="E80" s="17" t="s">
        <v>223</v>
      </c>
      <c r="F80" s="17" t="s">
        <v>224</v>
      </c>
      <c r="G80" s="12">
        <v>2.0</v>
      </c>
      <c r="H80" s="12">
        <f>0+1+0</f>
        <v>1</v>
      </c>
      <c r="I80" s="12">
        <f t="shared" si="24"/>
        <v>0</v>
      </c>
      <c r="J80" s="17" t="s">
        <v>221</v>
      </c>
    </row>
    <row r="81" ht="67.5" customHeight="1">
      <c r="A81" s="10">
        <v>2022.0</v>
      </c>
      <c r="B81" s="12" t="s">
        <v>10</v>
      </c>
      <c r="C81" s="11" t="s">
        <v>11</v>
      </c>
      <c r="D81" s="13" t="s">
        <v>225</v>
      </c>
      <c r="E81" s="17" t="s">
        <v>226</v>
      </c>
      <c r="F81" s="17" t="s">
        <v>227</v>
      </c>
      <c r="G81" s="12">
        <v>0.0</v>
      </c>
      <c r="H81" s="12">
        <f t="shared" ref="H81:I81" si="25">0+0+57</f>
        <v>57</v>
      </c>
      <c r="I81" s="12">
        <f t="shared" si="25"/>
        <v>57</v>
      </c>
      <c r="J81" s="17" t="s">
        <v>228</v>
      </c>
    </row>
    <row r="82" ht="68.25" customHeight="1">
      <c r="A82" s="10">
        <v>2022.0</v>
      </c>
      <c r="B82" s="12" t="s">
        <v>10</v>
      </c>
      <c r="C82" s="11" t="s">
        <v>11</v>
      </c>
      <c r="D82" s="13" t="s">
        <v>225</v>
      </c>
      <c r="E82" s="17" t="s">
        <v>229</v>
      </c>
      <c r="F82" s="17" t="s">
        <v>230</v>
      </c>
      <c r="G82" s="12">
        <v>12.0</v>
      </c>
      <c r="H82" s="12">
        <f t="shared" ref="H82:I82" si="26">1+1+1</f>
        <v>3</v>
      </c>
      <c r="I82" s="12">
        <f t="shared" si="26"/>
        <v>3</v>
      </c>
      <c r="J82" s="17" t="s">
        <v>228</v>
      </c>
    </row>
    <row r="83" ht="68.25" customHeight="1">
      <c r="A83" s="10">
        <v>2022.0</v>
      </c>
      <c r="B83" s="12" t="s">
        <v>10</v>
      </c>
      <c r="C83" s="11" t="s">
        <v>11</v>
      </c>
      <c r="D83" s="13" t="s">
        <v>225</v>
      </c>
      <c r="E83" s="17" t="s">
        <v>231</v>
      </c>
      <c r="F83" s="17" t="s">
        <v>230</v>
      </c>
      <c r="G83" s="12">
        <v>12.0</v>
      </c>
      <c r="H83" s="12">
        <f t="shared" ref="H83:I83" si="27">1+1+1</f>
        <v>3</v>
      </c>
      <c r="I83" s="12">
        <f t="shared" si="27"/>
        <v>3</v>
      </c>
      <c r="J83" s="17" t="s">
        <v>228</v>
      </c>
    </row>
    <row r="84" ht="51.0" customHeight="1">
      <c r="A84" s="10">
        <v>2022.0</v>
      </c>
      <c r="B84" s="12" t="s">
        <v>10</v>
      </c>
      <c r="C84" s="11" t="s">
        <v>11</v>
      </c>
      <c r="D84" s="11" t="s">
        <v>232</v>
      </c>
      <c r="E84" s="17" t="s">
        <v>233</v>
      </c>
      <c r="F84" s="17" t="s">
        <v>234</v>
      </c>
      <c r="G84" s="12">
        <v>10.0</v>
      </c>
      <c r="H84" s="12">
        <f>0+0+3</f>
        <v>3</v>
      </c>
      <c r="I84" s="12">
        <f>0+0+0</f>
        <v>0</v>
      </c>
      <c r="J84" s="17" t="s">
        <v>235</v>
      </c>
    </row>
    <row r="85" ht="15.75" customHeight="1">
      <c r="A85" s="10">
        <v>2022.0</v>
      </c>
      <c r="B85" s="12" t="s">
        <v>10</v>
      </c>
      <c r="C85" s="11" t="s">
        <v>11</v>
      </c>
      <c r="D85" s="11" t="s">
        <v>236</v>
      </c>
      <c r="E85" s="11" t="s">
        <v>237</v>
      </c>
      <c r="F85" s="11" t="s">
        <v>238</v>
      </c>
      <c r="G85" s="12">
        <v>48.0</v>
      </c>
      <c r="H85" s="12">
        <f>4+4+4</f>
        <v>12</v>
      </c>
      <c r="I85" s="12">
        <f>6+4+5</f>
        <v>15</v>
      </c>
      <c r="J85" s="11" t="s">
        <v>239</v>
      </c>
    </row>
    <row r="86" ht="15.75" customHeight="1">
      <c r="A86" s="10">
        <v>2022.0</v>
      </c>
      <c r="B86" s="12" t="s">
        <v>10</v>
      </c>
      <c r="C86" s="11" t="s">
        <v>240</v>
      </c>
      <c r="D86" s="11" t="s">
        <v>241</v>
      </c>
      <c r="E86" s="11" t="s">
        <v>242</v>
      </c>
      <c r="F86" s="11" t="s">
        <v>243</v>
      </c>
      <c r="G86" s="12">
        <v>12.0</v>
      </c>
      <c r="H86" s="12">
        <f t="shared" ref="H86:H87" si="28">1+1+1</f>
        <v>3</v>
      </c>
      <c r="I86" s="12">
        <f>2+2+2</f>
        <v>6</v>
      </c>
      <c r="J86" s="11" t="s">
        <v>239</v>
      </c>
    </row>
    <row r="87" ht="15.75" customHeight="1">
      <c r="A87" s="10">
        <v>2022.0</v>
      </c>
      <c r="B87" s="12" t="s">
        <v>10</v>
      </c>
      <c r="C87" s="11" t="s">
        <v>240</v>
      </c>
      <c r="D87" s="11" t="s">
        <v>241</v>
      </c>
      <c r="E87" s="11" t="s">
        <v>244</v>
      </c>
      <c r="F87" s="11" t="s">
        <v>245</v>
      </c>
      <c r="G87" s="12">
        <v>12.0</v>
      </c>
      <c r="H87" s="12">
        <f t="shared" si="28"/>
        <v>3</v>
      </c>
      <c r="I87" s="12">
        <f>1+2+2</f>
        <v>5</v>
      </c>
      <c r="J87" s="11" t="s">
        <v>239</v>
      </c>
    </row>
    <row r="88" ht="15.75" customHeight="1">
      <c r="A88" s="10">
        <v>2022.0</v>
      </c>
      <c r="B88" s="12" t="s">
        <v>10</v>
      </c>
      <c r="C88" s="11" t="s">
        <v>240</v>
      </c>
      <c r="D88" s="11" t="s">
        <v>246</v>
      </c>
      <c r="E88" s="11" t="s">
        <v>247</v>
      </c>
      <c r="F88" s="11" t="s">
        <v>248</v>
      </c>
      <c r="G88" s="12">
        <v>114.0</v>
      </c>
      <c r="H88" s="12">
        <f>8+10+8</f>
        <v>26</v>
      </c>
      <c r="I88" s="12">
        <f>21+20+22</f>
        <v>63</v>
      </c>
      <c r="J88" s="11" t="s">
        <v>249</v>
      </c>
    </row>
    <row r="89" ht="15.75" customHeight="1">
      <c r="A89" s="10">
        <v>2022.0</v>
      </c>
      <c r="B89" s="12" t="s">
        <v>10</v>
      </c>
      <c r="C89" s="11" t="s">
        <v>240</v>
      </c>
      <c r="D89" s="11" t="s">
        <v>246</v>
      </c>
      <c r="E89" s="11" t="s">
        <v>250</v>
      </c>
      <c r="F89" s="11" t="s">
        <v>251</v>
      </c>
      <c r="G89" s="12">
        <v>10.0</v>
      </c>
      <c r="H89" s="12">
        <f t="shared" ref="H89:H90" si="29">1+1+1</f>
        <v>3</v>
      </c>
      <c r="I89" s="12">
        <f>0+0+0</f>
        <v>0</v>
      </c>
      <c r="J89" s="11" t="s">
        <v>249</v>
      </c>
    </row>
    <row r="90" ht="15.75" customHeight="1">
      <c r="A90" s="10">
        <v>2022.0</v>
      </c>
      <c r="B90" s="12" t="s">
        <v>10</v>
      </c>
      <c r="C90" s="11" t="s">
        <v>240</v>
      </c>
      <c r="D90" s="11" t="s">
        <v>246</v>
      </c>
      <c r="E90" s="11" t="s">
        <v>252</v>
      </c>
      <c r="F90" s="11" t="s">
        <v>253</v>
      </c>
      <c r="G90" s="12">
        <v>12.0</v>
      </c>
      <c r="H90" s="12">
        <f t="shared" si="29"/>
        <v>3</v>
      </c>
      <c r="I90" s="12">
        <f>7+6+9</f>
        <v>22</v>
      </c>
      <c r="J90" s="11" t="s">
        <v>249</v>
      </c>
    </row>
    <row r="91" ht="15.75" customHeight="1">
      <c r="A91" s="10">
        <v>2022.0</v>
      </c>
      <c r="B91" s="12" t="s">
        <v>10</v>
      </c>
      <c r="C91" s="11" t="s">
        <v>240</v>
      </c>
      <c r="D91" s="11" t="s">
        <v>254</v>
      </c>
      <c r="E91" s="11" t="s">
        <v>255</v>
      </c>
      <c r="F91" s="11" t="s">
        <v>256</v>
      </c>
      <c r="G91" s="12">
        <v>2640.0</v>
      </c>
      <c r="H91" s="12">
        <f>220+220+220</f>
        <v>660</v>
      </c>
      <c r="I91" s="12">
        <f>154+178+258</f>
        <v>590</v>
      </c>
      <c r="J91" s="11" t="s">
        <v>257</v>
      </c>
    </row>
    <row r="92" ht="15.75" customHeight="1">
      <c r="A92" s="10">
        <v>2022.0</v>
      </c>
      <c r="B92" s="12" t="s">
        <v>10</v>
      </c>
      <c r="C92" s="11" t="s">
        <v>240</v>
      </c>
      <c r="D92" s="11" t="s">
        <v>254</v>
      </c>
      <c r="E92" s="11" t="s">
        <v>258</v>
      </c>
      <c r="F92" s="11" t="s">
        <v>259</v>
      </c>
      <c r="G92" s="12">
        <v>360.0</v>
      </c>
      <c r="H92" s="12">
        <f>30+30+30</f>
        <v>90</v>
      </c>
      <c r="I92" s="12">
        <f>0+0+18</f>
        <v>18</v>
      </c>
      <c r="J92" s="11" t="s">
        <v>257</v>
      </c>
    </row>
    <row r="93" ht="15.75" customHeight="1">
      <c r="A93" s="10">
        <v>2022.0</v>
      </c>
      <c r="B93" s="12" t="s">
        <v>10</v>
      </c>
      <c r="C93" s="11" t="s">
        <v>240</v>
      </c>
      <c r="D93" s="11" t="s">
        <v>260</v>
      </c>
      <c r="E93" s="11" t="s">
        <v>261</v>
      </c>
      <c r="F93" s="11" t="s">
        <v>262</v>
      </c>
      <c r="G93" s="12">
        <v>21600.0</v>
      </c>
      <c r="H93" s="12">
        <f>1800+1800+1800</f>
        <v>5400</v>
      </c>
      <c r="I93" s="12">
        <f>1388+1435+1850</f>
        <v>4673</v>
      </c>
      <c r="J93" s="11" t="s">
        <v>263</v>
      </c>
    </row>
    <row r="94" ht="57.75" customHeight="1">
      <c r="A94" s="10">
        <v>2022.0</v>
      </c>
      <c r="B94" s="12" t="s">
        <v>10</v>
      </c>
      <c r="C94" s="11" t="s">
        <v>240</v>
      </c>
      <c r="D94" s="11" t="s">
        <v>260</v>
      </c>
      <c r="E94" s="11" t="s">
        <v>264</v>
      </c>
      <c r="F94" s="11" t="s">
        <v>265</v>
      </c>
      <c r="G94" s="12">
        <v>600.0</v>
      </c>
      <c r="H94" s="12">
        <f>50+50+50</f>
        <v>150</v>
      </c>
      <c r="I94" s="12">
        <f>42+33+60</f>
        <v>135</v>
      </c>
      <c r="J94" s="11" t="s">
        <v>263</v>
      </c>
    </row>
    <row r="95" ht="15.75" customHeight="1">
      <c r="A95" s="10">
        <v>2022.0</v>
      </c>
      <c r="B95" s="12" t="s">
        <v>10</v>
      </c>
      <c r="C95" s="11" t="s">
        <v>240</v>
      </c>
      <c r="D95" s="11" t="s">
        <v>260</v>
      </c>
      <c r="E95" s="11" t="s">
        <v>266</v>
      </c>
      <c r="F95" s="11" t="s">
        <v>267</v>
      </c>
      <c r="G95" s="12">
        <v>2112.0</v>
      </c>
      <c r="H95" s="12">
        <f t="shared" ref="H95:I95" si="30">176+176+176</f>
        <v>528</v>
      </c>
      <c r="I95" s="12">
        <f t="shared" si="30"/>
        <v>528</v>
      </c>
      <c r="J95" s="11" t="s">
        <v>263</v>
      </c>
    </row>
    <row r="96" ht="15.75" customHeight="1">
      <c r="A96" s="10">
        <v>2022.0</v>
      </c>
      <c r="B96" s="12" t="s">
        <v>10</v>
      </c>
      <c r="C96" s="11" t="s">
        <v>240</v>
      </c>
      <c r="D96" s="11" t="s">
        <v>268</v>
      </c>
      <c r="E96" s="11" t="s">
        <v>269</v>
      </c>
      <c r="F96" s="11" t="s">
        <v>270</v>
      </c>
      <c r="G96" s="12">
        <v>0.0</v>
      </c>
      <c r="H96" s="12">
        <f>560+560+560</f>
        <v>1680</v>
      </c>
      <c r="I96" s="12">
        <f>537+501+569</f>
        <v>1607</v>
      </c>
      <c r="J96" s="11" t="s">
        <v>263</v>
      </c>
    </row>
    <row r="97" ht="15.75" customHeight="1">
      <c r="A97" s="10">
        <v>2022.0</v>
      </c>
      <c r="B97" s="12" t="s">
        <v>10</v>
      </c>
      <c r="C97" s="11" t="s">
        <v>240</v>
      </c>
      <c r="D97" s="11" t="s">
        <v>268</v>
      </c>
      <c r="E97" s="11" t="s">
        <v>271</v>
      </c>
      <c r="F97" s="11" t="s">
        <v>272</v>
      </c>
      <c r="G97" s="12">
        <v>0.0</v>
      </c>
      <c r="H97" s="12">
        <f>80+80+80</f>
        <v>240</v>
      </c>
      <c r="I97" s="12">
        <f>88+80+89</f>
        <v>257</v>
      </c>
      <c r="J97" s="11" t="s">
        <v>263</v>
      </c>
    </row>
    <row r="98" ht="15.75" customHeight="1">
      <c r="A98" s="10">
        <v>2022.0</v>
      </c>
      <c r="B98" s="12" t="s">
        <v>10</v>
      </c>
      <c r="C98" s="11" t="s">
        <v>240</v>
      </c>
      <c r="D98" s="11" t="s">
        <v>268</v>
      </c>
      <c r="E98" s="11" t="s">
        <v>273</v>
      </c>
      <c r="F98" s="11" t="s">
        <v>274</v>
      </c>
      <c r="G98" s="12">
        <v>0.0</v>
      </c>
      <c r="H98" s="12">
        <f>160+160+160</f>
        <v>480</v>
      </c>
      <c r="I98" s="12">
        <f>213+212+213</f>
        <v>638</v>
      </c>
      <c r="J98" s="11" t="s">
        <v>263</v>
      </c>
    </row>
    <row r="99" ht="15.75" customHeight="1">
      <c r="A99" s="10">
        <v>2022.0</v>
      </c>
      <c r="B99" s="12" t="s">
        <v>10</v>
      </c>
      <c r="C99" s="11" t="s">
        <v>240</v>
      </c>
      <c r="D99" s="11" t="s">
        <v>275</v>
      </c>
      <c r="E99" s="11" t="s">
        <v>276</v>
      </c>
      <c r="F99" s="11" t="s">
        <v>277</v>
      </c>
      <c r="G99" s="12">
        <v>133.0</v>
      </c>
      <c r="H99" s="12">
        <f t="shared" ref="H99:I99" si="31">7+8+18</f>
        <v>33</v>
      </c>
      <c r="I99" s="12">
        <f t="shared" si="31"/>
        <v>33</v>
      </c>
      <c r="J99" s="11" t="s">
        <v>263</v>
      </c>
    </row>
    <row r="100" ht="15.75" customHeight="1">
      <c r="A100" s="10">
        <v>2022.0</v>
      </c>
      <c r="B100" s="12" t="s">
        <v>10</v>
      </c>
      <c r="C100" s="11" t="s">
        <v>240</v>
      </c>
      <c r="D100" s="11" t="s">
        <v>275</v>
      </c>
      <c r="E100" s="11" t="s">
        <v>278</v>
      </c>
      <c r="F100" s="11" t="s">
        <v>279</v>
      </c>
      <c r="G100" s="12">
        <v>195.0</v>
      </c>
      <c r="H100" s="12">
        <f>5+10+15</f>
        <v>30</v>
      </c>
      <c r="I100" s="12">
        <f>5+10+9</f>
        <v>24</v>
      </c>
      <c r="J100" s="11" t="s">
        <v>263</v>
      </c>
    </row>
    <row r="101" ht="15.75" customHeight="1">
      <c r="A101" s="10">
        <v>2022.0</v>
      </c>
      <c r="B101" s="12" t="s">
        <v>10</v>
      </c>
      <c r="C101" s="11" t="s">
        <v>240</v>
      </c>
      <c r="D101" s="11" t="s">
        <v>275</v>
      </c>
      <c r="E101" s="11" t="s">
        <v>280</v>
      </c>
      <c r="F101" s="11" t="s">
        <v>281</v>
      </c>
      <c r="G101" s="12">
        <v>1650.0</v>
      </c>
      <c r="H101" s="12">
        <f>100+200+200</f>
        <v>500</v>
      </c>
      <c r="I101" s="12">
        <f>132+209+157</f>
        <v>498</v>
      </c>
      <c r="J101" s="11" t="s">
        <v>263</v>
      </c>
    </row>
    <row r="102" ht="15.75" customHeight="1">
      <c r="A102" s="10">
        <v>2022.0</v>
      </c>
      <c r="B102" s="12" t="s">
        <v>10</v>
      </c>
      <c r="C102" s="11" t="s">
        <v>240</v>
      </c>
      <c r="D102" s="11" t="s">
        <v>275</v>
      </c>
      <c r="E102" s="11" t="s">
        <v>282</v>
      </c>
      <c r="F102" s="11" t="s">
        <v>283</v>
      </c>
      <c r="G102" s="12">
        <v>88.0</v>
      </c>
      <c r="H102" s="12">
        <f>8+9+8</f>
        <v>25</v>
      </c>
      <c r="I102" s="12">
        <f>10+15+13</f>
        <v>38</v>
      </c>
      <c r="J102" s="11" t="s">
        <v>263</v>
      </c>
    </row>
    <row r="103" ht="53.25" customHeight="1">
      <c r="A103" s="10">
        <v>2022.0</v>
      </c>
      <c r="B103" s="12" t="s">
        <v>10</v>
      </c>
      <c r="C103" s="11" t="s">
        <v>240</v>
      </c>
      <c r="D103" s="11" t="s">
        <v>275</v>
      </c>
      <c r="E103" s="11" t="s">
        <v>284</v>
      </c>
      <c r="F103" s="11" t="s">
        <v>285</v>
      </c>
      <c r="G103" s="12">
        <v>2.0</v>
      </c>
      <c r="H103" s="12">
        <f t="shared" ref="H103:I103" si="32">0+0+1</f>
        <v>1</v>
      </c>
      <c r="I103" s="12">
        <f t="shared" si="32"/>
        <v>1</v>
      </c>
      <c r="J103" s="11" t="s">
        <v>263</v>
      </c>
    </row>
    <row r="104" ht="53.25" customHeight="1">
      <c r="A104" s="10">
        <v>2022.0</v>
      </c>
      <c r="B104" s="12" t="s">
        <v>10</v>
      </c>
      <c r="C104" s="11" t="s">
        <v>240</v>
      </c>
      <c r="D104" s="11" t="s">
        <v>275</v>
      </c>
      <c r="E104" s="11" t="s">
        <v>286</v>
      </c>
      <c r="F104" s="11" t="s">
        <v>287</v>
      </c>
      <c r="G104" s="12">
        <v>405.0</v>
      </c>
      <c r="H104" s="12">
        <f>20+25+20</f>
        <v>65</v>
      </c>
      <c r="I104" s="12">
        <f>25+30+20</f>
        <v>75</v>
      </c>
      <c r="J104" s="11" t="s">
        <v>263</v>
      </c>
    </row>
    <row r="105" ht="15.75" customHeight="1">
      <c r="A105" s="10">
        <v>2022.0</v>
      </c>
      <c r="B105" s="12" t="s">
        <v>10</v>
      </c>
      <c r="C105" s="11" t="s">
        <v>240</v>
      </c>
      <c r="D105" s="11" t="s">
        <v>288</v>
      </c>
      <c r="E105" s="11" t="s">
        <v>289</v>
      </c>
      <c r="F105" s="11" t="s">
        <v>290</v>
      </c>
      <c r="G105" s="12">
        <v>1400.0</v>
      </c>
      <c r="H105" s="12">
        <f>116+117+116</f>
        <v>349</v>
      </c>
      <c r="I105" s="12">
        <f>130+135+145</f>
        <v>410</v>
      </c>
      <c r="J105" s="11" t="s">
        <v>263</v>
      </c>
    </row>
    <row r="106" ht="15.75" customHeight="1">
      <c r="A106" s="10">
        <v>2022.0</v>
      </c>
      <c r="B106" s="12" t="s">
        <v>10</v>
      </c>
      <c r="C106" s="11" t="s">
        <v>240</v>
      </c>
      <c r="D106" s="11" t="s">
        <v>288</v>
      </c>
      <c r="E106" s="11" t="s">
        <v>291</v>
      </c>
      <c r="F106" s="11" t="s">
        <v>292</v>
      </c>
      <c r="G106" s="12">
        <v>300.0</v>
      </c>
      <c r="H106" s="12">
        <f>25+25+25</f>
        <v>75</v>
      </c>
      <c r="I106" s="12">
        <f>31+28+31</f>
        <v>90</v>
      </c>
      <c r="J106" s="11" t="s">
        <v>263</v>
      </c>
    </row>
    <row r="107" ht="15.75" customHeight="1">
      <c r="A107" s="10">
        <v>2022.0</v>
      </c>
      <c r="B107" s="12" t="s">
        <v>10</v>
      </c>
      <c r="C107" s="11" t="s">
        <v>240</v>
      </c>
      <c r="D107" s="11" t="s">
        <v>293</v>
      </c>
      <c r="E107" s="11" t="s">
        <v>294</v>
      </c>
      <c r="F107" s="11" t="s">
        <v>295</v>
      </c>
      <c r="G107" s="12">
        <v>75.0</v>
      </c>
      <c r="H107" s="12">
        <f>6+6+6</f>
        <v>18</v>
      </c>
      <c r="I107" s="12">
        <f>0+0+0</f>
        <v>0</v>
      </c>
      <c r="J107" s="11" t="s">
        <v>263</v>
      </c>
    </row>
    <row r="108" ht="53.25" customHeight="1">
      <c r="A108" s="10">
        <v>2022.0</v>
      </c>
      <c r="B108" s="12" t="s">
        <v>10</v>
      </c>
      <c r="C108" s="11" t="s">
        <v>240</v>
      </c>
      <c r="D108" s="11" t="s">
        <v>293</v>
      </c>
      <c r="E108" s="11" t="s">
        <v>296</v>
      </c>
      <c r="F108" s="11" t="s">
        <v>297</v>
      </c>
      <c r="G108" s="20">
        <v>1.0</v>
      </c>
      <c r="H108" s="20">
        <v>0.25</v>
      </c>
      <c r="I108" s="20">
        <v>0.24</v>
      </c>
      <c r="J108" s="11" t="s">
        <v>263</v>
      </c>
    </row>
    <row r="109" ht="67.5" customHeight="1">
      <c r="A109" s="10">
        <v>2022.0</v>
      </c>
      <c r="B109" s="12" t="s">
        <v>10</v>
      </c>
      <c r="C109" s="11" t="s">
        <v>11</v>
      </c>
      <c r="D109" s="11" t="s">
        <v>298</v>
      </c>
      <c r="E109" s="11" t="s">
        <v>299</v>
      </c>
      <c r="F109" s="11" t="s">
        <v>300</v>
      </c>
      <c r="G109" s="12">
        <v>6675.0</v>
      </c>
      <c r="H109" s="12">
        <f>505+560+580</f>
        <v>1645</v>
      </c>
      <c r="I109" s="12">
        <f>575+600+614</f>
        <v>1789</v>
      </c>
      <c r="J109" s="11" t="s">
        <v>301</v>
      </c>
    </row>
    <row r="110" ht="66.75" customHeight="1">
      <c r="A110" s="10">
        <v>2022.0</v>
      </c>
      <c r="B110" s="12" t="s">
        <v>10</v>
      </c>
      <c r="C110" s="11" t="s">
        <v>11</v>
      </c>
      <c r="D110" s="11" t="s">
        <v>298</v>
      </c>
      <c r="E110" s="11" t="s">
        <v>302</v>
      </c>
      <c r="F110" s="11" t="s">
        <v>303</v>
      </c>
      <c r="G110" s="12">
        <v>566.0</v>
      </c>
      <c r="H110" s="12">
        <f>38+43+48</f>
        <v>129</v>
      </c>
      <c r="I110" s="12">
        <f>22+25+33</f>
        <v>80</v>
      </c>
      <c r="J110" s="11" t="s">
        <v>301</v>
      </c>
    </row>
    <row r="111" ht="66.0" customHeight="1">
      <c r="A111" s="10">
        <v>2022.0</v>
      </c>
      <c r="B111" s="12" t="s">
        <v>10</v>
      </c>
      <c r="C111" s="11" t="s">
        <v>11</v>
      </c>
      <c r="D111" s="11" t="s">
        <v>304</v>
      </c>
      <c r="E111" s="11" t="s">
        <v>305</v>
      </c>
      <c r="F111" s="11" t="s">
        <v>306</v>
      </c>
      <c r="G111" s="12">
        <v>6532.0</v>
      </c>
      <c r="H111" s="12">
        <f>568+568+568</f>
        <v>1704</v>
      </c>
      <c r="I111" s="12">
        <f>711+680+1287</f>
        <v>2678</v>
      </c>
      <c r="J111" s="11" t="s">
        <v>307</v>
      </c>
    </row>
    <row r="112" ht="66.0" customHeight="1">
      <c r="A112" s="10">
        <v>2022.0</v>
      </c>
      <c r="B112" s="12" t="s">
        <v>10</v>
      </c>
      <c r="C112" s="11" t="s">
        <v>11</v>
      </c>
      <c r="D112" s="11" t="s">
        <v>304</v>
      </c>
      <c r="E112" s="11" t="s">
        <v>308</v>
      </c>
      <c r="F112" s="11" t="s">
        <v>309</v>
      </c>
      <c r="G112" s="12">
        <v>2565.0</v>
      </c>
      <c r="H112" s="12">
        <f>223+223+223</f>
        <v>669</v>
      </c>
      <c r="I112" s="12">
        <f>440+479+616</f>
        <v>1535</v>
      </c>
      <c r="J112" s="11" t="s">
        <v>307</v>
      </c>
    </row>
    <row r="113" ht="68.25" customHeight="1">
      <c r="A113" s="10">
        <v>2022.0</v>
      </c>
      <c r="B113" s="12" t="s">
        <v>10</v>
      </c>
      <c r="C113" s="11" t="s">
        <v>11</v>
      </c>
      <c r="D113" s="11" t="s">
        <v>310</v>
      </c>
      <c r="E113" s="11" t="s">
        <v>311</v>
      </c>
      <c r="F113" s="11" t="s">
        <v>312</v>
      </c>
      <c r="G113" s="12">
        <v>1369.0</v>
      </c>
      <c r="H113" s="12">
        <f>119+119+119</f>
        <v>357</v>
      </c>
      <c r="I113" s="12">
        <f>224+430+510</f>
        <v>1164</v>
      </c>
      <c r="J113" s="11" t="s">
        <v>313</v>
      </c>
    </row>
    <row r="114" ht="68.25" customHeight="1">
      <c r="A114" s="10">
        <v>2022.0</v>
      </c>
      <c r="B114" s="12" t="s">
        <v>10</v>
      </c>
      <c r="C114" s="11" t="s">
        <v>11</v>
      </c>
      <c r="D114" s="11" t="s">
        <v>310</v>
      </c>
      <c r="E114" s="11" t="s">
        <v>314</v>
      </c>
      <c r="F114" s="11" t="s">
        <v>315</v>
      </c>
      <c r="G114" s="12">
        <v>575.0</v>
      </c>
      <c r="H114" s="12">
        <f>50+50+50</f>
        <v>150</v>
      </c>
      <c r="I114" s="12">
        <f>70+59+63</f>
        <v>192</v>
      </c>
      <c r="J114" s="11" t="s">
        <v>313</v>
      </c>
    </row>
    <row r="115" ht="51.0" customHeight="1">
      <c r="A115" s="10">
        <v>2022.0</v>
      </c>
      <c r="B115" s="12" t="s">
        <v>10</v>
      </c>
      <c r="C115" s="11" t="s">
        <v>11</v>
      </c>
      <c r="D115" s="11" t="s">
        <v>316</v>
      </c>
      <c r="E115" s="11" t="s">
        <v>317</v>
      </c>
      <c r="F115" s="11" t="s">
        <v>318</v>
      </c>
      <c r="G115" s="12">
        <v>6670.0</v>
      </c>
      <c r="H115" s="12">
        <f>570+570+570</f>
        <v>1710</v>
      </c>
      <c r="I115" s="12">
        <f>584+704+631</f>
        <v>1919</v>
      </c>
      <c r="J115" s="11" t="s">
        <v>319</v>
      </c>
    </row>
    <row r="116" ht="51.0" customHeight="1">
      <c r="A116" s="10">
        <v>2022.0</v>
      </c>
      <c r="B116" s="12" t="s">
        <v>10</v>
      </c>
      <c r="C116" s="11" t="s">
        <v>11</v>
      </c>
      <c r="D116" s="11" t="s">
        <v>316</v>
      </c>
      <c r="E116" s="11" t="s">
        <v>320</v>
      </c>
      <c r="F116" s="11" t="s">
        <v>321</v>
      </c>
      <c r="G116" s="12">
        <v>35500.0</v>
      </c>
      <c r="H116" s="12">
        <f>3000+3000+3000</f>
        <v>9000</v>
      </c>
      <c r="I116" s="12">
        <f>3377+2873+3722</f>
        <v>9972</v>
      </c>
      <c r="J116" s="11" t="s">
        <v>319</v>
      </c>
    </row>
    <row r="117" ht="51.0" customHeight="1">
      <c r="A117" s="10">
        <v>2022.0</v>
      </c>
      <c r="B117" s="12" t="s">
        <v>10</v>
      </c>
      <c r="C117" s="11" t="s">
        <v>11</v>
      </c>
      <c r="D117" s="11" t="s">
        <v>316</v>
      </c>
      <c r="E117" s="11" t="s">
        <v>322</v>
      </c>
      <c r="F117" s="11" t="s">
        <v>323</v>
      </c>
      <c r="G117" s="12">
        <v>0.0</v>
      </c>
      <c r="H117" s="20">
        <f t="shared" ref="H117:I117" si="33">0+1+1</f>
        <v>2</v>
      </c>
      <c r="I117" s="12">
        <f t="shared" si="33"/>
        <v>2</v>
      </c>
      <c r="J117" s="11" t="s">
        <v>319</v>
      </c>
    </row>
    <row r="118" ht="41.25" customHeight="1">
      <c r="A118" s="10">
        <v>2022.0</v>
      </c>
      <c r="B118" s="12" t="s">
        <v>10</v>
      </c>
      <c r="C118" s="11" t="s">
        <v>11</v>
      </c>
      <c r="D118" s="11" t="s">
        <v>324</v>
      </c>
      <c r="E118" s="11" t="s">
        <v>325</v>
      </c>
      <c r="F118" s="11" t="s">
        <v>326</v>
      </c>
      <c r="G118" s="12">
        <v>0.0</v>
      </c>
      <c r="H118" s="12">
        <f>44+44+66</f>
        <v>154</v>
      </c>
      <c r="I118" s="12">
        <f>51+63+75</f>
        <v>189</v>
      </c>
      <c r="J118" s="11" t="s">
        <v>327</v>
      </c>
    </row>
    <row r="119" ht="41.25" customHeight="1">
      <c r="A119" s="10">
        <v>2022.0</v>
      </c>
      <c r="B119" s="12" t="s">
        <v>10</v>
      </c>
      <c r="C119" s="11" t="s">
        <v>11</v>
      </c>
      <c r="D119" s="11" t="s">
        <v>324</v>
      </c>
      <c r="E119" s="11" t="s">
        <v>328</v>
      </c>
      <c r="F119" s="11" t="s">
        <v>329</v>
      </c>
      <c r="G119" s="12">
        <v>0.0</v>
      </c>
      <c r="H119" s="12">
        <f>3+11+14</f>
        <v>28</v>
      </c>
      <c r="I119" s="12">
        <f>5+13+18</f>
        <v>36</v>
      </c>
      <c r="J119" s="11" t="s">
        <v>327</v>
      </c>
    </row>
    <row r="120" ht="41.25" customHeight="1">
      <c r="A120" s="10">
        <v>2022.0</v>
      </c>
      <c r="B120" s="12" t="s">
        <v>10</v>
      </c>
      <c r="C120" s="11" t="s">
        <v>11</v>
      </c>
      <c r="D120" s="11" t="s">
        <v>324</v>
      </c>
      <c r="E120" s="11" t="s">
        <v>330</v>
      </c>
      <c r="F120" s="11" t="s">
        <v>331</v>
      </c>
      <c r="G120" s="12">
        <v>0.0</v>
      </c>
      <c r="H120" s="12">
        <f t="shared" ref="H120:I120" si="34">1+1+1</f>
        <v>3</v>
      </c>
      <c r="I120" s="12">
        <f t="shared" si="34"/>
        <v>3</v>
      </c>
      <c r="J120" s="11" t="s">
        <v>327</v>
      </c>
    </row>
    <row r="121" ht="41.25" customHeight="1">
      <c r="A121" s="10">
        <v>2022.0</v>
      </c>
      <c r="B121" s="12" t="s">
        <v>10</v>
      </c>
      <c r="C121" s="11" t="s">
        <v>11</v>
      </c>
      <c r="D121" s="11" t="s">
        <v>324</v>
      </c>
      <c r="E121" s="11" t="s">
        <v>332</v>
      </c>
      <c r="F121" s="11" t="s">
        <v>333</v>
      </c>
      <c r="G121" s="12">
        <v>0.0</v>
      </c>
      <c r="H121" s="12">
        <f>1+1+1</f>
        <v>3</v>
      </c>
      <c r="I121" s="12">
        <f>2+6+5</f>
        <v>13</v>
      </c>
      <c r="J121" s="11" t="s">
        <v>327</v>
      </c>
    </row>
    <row r="122" ht="41.25" customHeight="1">
      <c r="A122" s="10">
        <v>2022.0</v>
      </c>
      <c r="B122" s="12" t="s">
        <v>10</v>
      </c>
      <c r="C122" s="11" t="s">
        <v>11</v>
      </c>
      <c r="D122" s="11" t="s">
        <v>324</v>
      </c>
      <c r="E122" s="11" t="s">
        <v>334</v>
      </c>
      <c r="F122" s="11" t="s">
        <v>335</v>
      </c>
      <c r="G122" s="12">
        <v>0.0</v>
      </c>
      <c r="H122" s="12">
        <f>0+1+8</f>
        <v>9</v>
      </c>
      <c r="I122" s="12">
        <f>8+23+39</f>
        <v>70</v>
      </c>
      <c r="J122" s="11" t="s">
        <v>327</v>
      </c>
    </row>
    <row r="123" ht="39.75" customHeight="1">
      <c r="A123" s="10">
        <v>2022.0</v>
      </c>
      <c r="B123" s="12" t="s">
        <v>10</v>
      </c>
      <c r="C123" s="11" t="s">
        <v>11</v>
      </c>
      <c r="D123" s="11" t="s">
        <v>336</v>
      </c>
      <c r="E123" s="11" t="s">
        <v>337</v>
      </c>
      <c r="F123" s="11" t="s">
        <v>338</v>
      </c>
      <c r="G123" s="12">
        <v>0.0</v>
      </c>
      <c r="H123" s="12">
        <f>50+60+50</f>
        <v>160</v>
      </c>
      <c r="I123" s="12">
        <f>52+78+83</f>
        <v>213</v>
      </c>
      <c r="J123" s="11" t="s">
        <v>339</v>
      </c>
    </row>
    <row r="124" ht="39.75" customHeight="1">
      <c r="A124" s="10">
        <v>2022.0</v>
      </c>
      <c r="B124" s="12" t="s">
        <v>10</v>
      </c>
      <c r="C124" s="11" t="s">
        <v>11</v>
      </c>
      <c r="D124" s="11" t="s">
        <v>336</v>
      </c>
      <c r="E124" s="11" t="s">
        <v>340</v>
      </c>
      <c r="F124" s="11" t="s">
        <v>341</v>
      </c>
      <c r="G124" s="12">
        <v>0.0</v>
      </c>
      <c r="H124" s="12">
        <f>70+17+73</f>
        <v>160</v>
      </c>
      <c r="I124" s="12">
        <f>78+84+119</f>
        <v>281</v>
      </c>
      <c r="J124" s="11" t="s">
        <v>339</v>
      </c>
    </row>
    <row r="125" ht="39.75" customHeight="1">
      <c r="A125" s="10">
        <v>2022.0</v>
      </c>
      <c r="B125" s="12" t="s">
        <v>10</v>
      </c>
      <c r="C125" s="11" t="s">
        <v>11</v>
      </c>
      <c r="D125" s="11" t="s">
        <v>336</v>
      </c>
      <c r="E125" s="11" t="s">
        <v>342</v>
      </c>
      <c r="F125" s="11" t="s">
        <v>343</v>
      </c>
      <c r="G125" s="12">
        <v>0.0</v>
      </c>
      <c r="H125" s="12">
        <f t="shared" ref="H125:I125" si="35">1+1+1</f>
        <v>3</v>
      </c>
      <c r="I125" s="12">
        <f t="shared" si="35"/>
        <v>3</v>
      </c>
      <c r="J125" s="11" t="s">
        <v>339</v>
      </c>
    </row>
    <row r="126" ht="70.5" customHeight="1">
      <c r="A126" s="10">
        <v>2022.0</v>
      </c>
      <c r="B126" s="12" t="s">
        <v>10</v>
      </c>
      <c r="C126" s="11" t="s">
        <v>11</v>
      </c>
      <c r="D126" s="11" t="s">
        <v>344</v>
      </c>
      <c r="E126" s="11" t="s">
        <v>345</v>
      </c>
      <c r="F126" s="11" t="s">
        <v>346</v>
      </c>
      <c r="G126" s="12">
        <v>0.0</v>
      </c>
      <c r="H126" s="12">
        <f>800+814+2746</f>
        <v>4360</v>
      </c>
      <c r="I126" s="12">
        <f>333+942+693</f>
        <v>1968</v>
      </c>
      <c r="J126" s="11" t="s">
        <v>347</v>
      </c>
    </row>
    <row r="127" ht="70.5" customHeight="1">
      <c r="A127" s="10">
        <v>2022.0</v>
      </c>
      <c r="B127" s="12" t="s">
        <v>10</v>
      </c>
      <c r="C127" s="11" t="s">
        <v>11</v>
      </c>
      <c r="D127" s="11" t="s">
        <v>344</v>
      </c>
      <c r="E127" s="11" t="s">
        <v>348</v>
      </c>
      <c r="F127" s="11" t="s">
        <v>349</v>
      </c>
      <c r="G127" s="12">
        <v>0.0</v>
      </c>
      <c r="H127" s="12">
        <f>4+4+4</f>
        <v>12</v>
      </c>
      <c r="I127" s="12">
        <f>9+7+10</f>
        <v>26</v>
      </c>
      <c r="J127" s="11" t="s">
        <v>347</v>
      </c>
    </row>
    <row r="128" ht="53.25" customHeight="1">
      <c r="A128" s="10">
        <v>2022.0</v>
      </c>
      <c r="B128" s="12" t="s">
        <v>10</v>
      </c>
      <c r="C128" s="11" t="s">
        <v>350</v>
      </c>
      <c r="D128" s="11" t="s">
        <v>351</v>
      </c>
      <c r="E128" s="11" t="s">
        <v>352</v>
      </c>
      <c r="F128" s="11" t="s">
        <v>353</v>
      </c>
      <c r="G128" s="12">
        <v>7490.0</v>
      </c>
      <c r="H128" s="12">
        <f>624+624+624</f>
        <v>1872</v>
      </c>
      <c r="I128" s="12">
        <f>153+84+151</f>
        <v>388</v>
      </c>
      <c r="J128" s="11" t="s">
        <v>354</v>
      </c>
    </row>
    <row r="129" ht="53.25" customHeight="1">
      <c r="A129" s="10">
        <v>2022.0</v>
      </c>
      <c r="B129" s="12" t="s">
        <v>10</v>
      </c>
      <c r="C129" s="11" t="s">
        <v>350</v>
      </c>
      <c r="D129" s="11" t="s">
        <v>351</v>
      </c>
      <c r="E129" s="11" t="s">
        <v>355</v>
      </c>
      <c r="F129" s="11" t="s">
        <v>356</v>
      </c>
      <c r="G129" s="12">
        <v>2587.0</v>
      </c>
      <c r="H129" s="12">
        <f>215+215+215</f>
        <v>645</v>
      </c>
      <c r="I129" s="12">
        <f>193+162+108</f>
        <v>463</v>
      </c>
      <c r="J129" s="11" t="s">
        <v>354</v>
      </c>
    </row>
    <row r="130" ht="53.25" customHeight="1">
      <c r="A130" s="10">
        <v>2022.0</v>
      </c>
      <c r="B130" s="12" t="s">
        <v>10</v>
      </c>
      <c r="C130" s="11" t="s">
        <v>350</v>
      </c>
      <c r="D130" s="11" t="s">
        <v>351</v>
      </c>
      <c r="E130" s="11" t="s">
        <v>357</v>
      </c>
      <c r="F130" s="11" t="s">
        <v>358</v>
      </c>
      <c r="G130" s="20">
        <v>1.0</v>
      </c>
      <c r="H130" s="20">
        <v>0.25</v>
      </c>
      <c r="I130" s="20">
        <v>0.25</v>
      </c>
      <c r="J130" s="11" t="s">
        <v>354</v>
      </c>
    </row>
    <row r="131" ht="43.5" customHeight="1">
      <c r="A131" s="10">
        <v>2022.0</v>
      </c>
      <c r="B131" s="12" t="s">
        <v>10</v>
      </c>
      <c r="C131" s="11" t="s">
        <v>11</v>
      </c>
      <c r="D131" s="11" t="s">
        <v>359</v>
      </c>
      <c r="E131" s="11" t="s">
        <v>360</v>
      </c>
      <c r="F131" s="11" t="s">
        <v>361</v>
      </c>
      <c r="G131" s="12">
        <v>0.0</v>
      </c>
      <c r="H131" s="12">
        <f>120+120+120</f>
        <v>360</v>
      </c>
      <c r="I131" s="12">
        <v>0.0</v>
      </c>
      <c r="J131" s="11" t="s">
        <v>362</v>
      </c>
    </row>
    <row r="132" ht="65.25" customHeight="1">
      <c r="A132" s="10">
        <v>2022.0</v>
      </c>
      <c r="B132" s="12" t="s">
        <v>10</v>
      </c>
      <c r="C132" s="11" t="s">
        <v>240</v>
      </c>
      <c r="D132" s="11" t="s">
        <v>363</v>
      </c>
      <c r="E132" s="11" t="s">
        <v>364</v>
      </c>
      <c r="F132" s="11" t="s">
        <v>365</v>
      </c>
      <c r="G132" s="20">
        <v>1.0</v>
      </c>
      <c r="H132" s="20">
        <v>0.25</v>
      </c>
      <c r="I132" s="21">
        <v>0.25</v>
      </c>
      <c r="J132" s="11" t="s">
        <v>366</v>
      </c>
    </row>
    <row r="133" ht="51.0" customHeight="1">
      <c r="A133" s="10">
        <v>2022.0</v>
      </c>
      <c r="B133" s="12" t="s">
        <v>10</v>
      </c>
      <c r="C133" s="11" t="s">
        <v>240</v>
      </c>
      <c r="D133" s="11" t="s">
        <v>367</v>
      </c>
      <c r="E133" s="11" t="s">
        <v>368</v>
      </c>
      <c r="F133" s="11" t="s">
        <v>369</v>
      </c>
      <c r="G133" s="12">
        <v>0.0</v>
      </c>
      <c r="H133" s="20">
        <v>0.25</v>
      </c>
      <c r="I133" s="21">
        <v>0.0</v>
      </c>
      <c r="J133" s="11" t="s">
        <v>370</v>
      </c>
    </row>
    <row r="134" ht="51.0" customHeight="1">
      <c r="A134" s="10">
        <v>2022.0</v>
      </c>
      <c r="B134" s="12" t="s">
        <v>10</v>
      </c>
      <c r="C134" s="11" t="s">
        <v>240</v>
      </c>
      <c r="D134" s="11" t="s">
        <v>367</v>
      </c>
      <c r="E134" s="11" t="s">
        <v>368</v>
      </c>
      <c r="F134" s="11" t="s">
        <v>369</v>
      </c>
      <c r="G134" s="12">
        <v>0.0</v>
      </c>
      <c r="H134" s="20">
        <v>0.25</v>
      </c>
      <c r="I134" s="21">
        <v>0.0</v>
      </c>
      <c r="J134" s="11" t="s">
        <v>370</v>
      </c>
    </row>
    <row r="135" ht="63.0" customHeight="1">
      <c r="A135" s="10">
        <v>2022.0</v>
      </c>
      <c r="B135" s="12" t="s">
        <v>10</v>
      </c>
      <c r="C135" s="11" t="s">
        <v>240</v>
      </c>
      <c r="D135" s="11" t="s">
        <v>371</v>
      </c>
      <c r="E135" s="11" t="s">
        <v>372</v>
      </c>
      <c r="F135" s="11" t="s">
        <v>140</v>
      </c>
      <c r="G135" s="12">
        <v>1109.0</v>
      </c>
      <c r="H135" s="22">
        <f>61+67+96</f>
        <v>224</v>
      </c>
      <c r="I135" s="12">
        <f>112+149+173</f>
        <v>434</v>
      </c>
      <c r="J135" s="11" t="s">
        <v>373</v>
      </c>
    </row>
    <row r="136" ht="63.0" customHeight="1">
      <c r="A136" s="10">
        <v>2022.0</v>
      </c>
      <c r="B136" s="12" t="s">
        <v>10</v>
      </c>
      <c r="C136" s="11" t="s">
        <v>240</v>
      </c>
      <c r="D136" s="11" t="s">
        <v>371</v>
      </c>
      <c r="E136" s="11" t="s">
        <v>372</v>
      </c>
      <c r="F136" s="11" t="s">
        <v>140</v>
      </c>
      <c r="G136" s="12">
        <v>199.0</v>
      </c>
      <c r="H136" s="22">
        <f>11+9+26</f>
        <v>46</v>
      </c>
      <c r="I136" s="12">
        <f>17+10+24</f>
        <v>51</v>
      </c>
      <c r="J136" s="11" t="s">
        <v>373</v>
      </c>
    </row>
    <row r="137" ht="64.5" customHeight="1">
      <c r="A137" s="10">
        <v>2022.0</v>
      </c>
      <c r="B137" s="12" t="s">
        <v>10</v>
      </c>
      <c r="C137" s="11" t="s">
        <v>240</v>
      </c>
      <c r="D137" s="11" t="s">
        <v>374</v>
      </c>
      <c r="E137" s="11" t="s">
        <v>375</v>
      </c>
      <c r="F137" s="11" t="s">
        <v>376</v>
      </c>
      <c r="G137" s="12">
        <v>0.0</v>
      </c>
      <c r="H137" s="12">
        <f>0+0+5</f>
        <v>5</v>
      </c>
      <c r="I137" s="12">
        <f>0+0+0</f>
        <v>0</v>
      </c>
      <c r="J137" s="11" t="s">
        <v>377</v>
      </c>
    </row>
    <row r="138" ht="55.5" customHeight="1">
      <c r="A138" s="10">
        <v>2022.0</v>
      </c>
      <c r="B138" s="12" t="s">
        <v>10</v>
      </c>
      <c r="C138" s="11" t="s">
        <v>240</v>
      </c>
      <c r="D138" s="11" t="s">
        <v>378</v>
      </c>
      <c r="E138" s="11" t="s">
        <v>379</v>
      </c>
      <c r="F138" s="11" t="s">
        <v>380</v>
      </c>
      <c r="G138" s="12">
        <v>10.0</v>
      </c>
      <c r="H138" s="12">
        <f>0+1+1</f>
        <v>2</v>
      </c>
      <c r="I138" s="12">
        <f>5+10+8</f>
        <v>23</v>
      </c>
      <c r="J138" s="11" t="s">
        <v>381</v>
      </c>
    </row>
    <row r="139" ht="55.5" customHeight="1">
      <c r="A139" s="10">
        <v>2022.0</v>
      </c>
      <c r="B139" s="12" t="s">
        <v>10</v>
      </c>
      <c r="C139" s="11" t="s">
        <v>240</v>
      </c>
      <c r="D139" s="11" t="s">
        <v>378</v>
      </c>
      <c r="E139" s="11" t="s">
        <v>382</v>
      </c>
      <c r="F139" s="11" t="s">
        <v>383</v>
      </c>
      <c r="G139" s="12">
        <v>24.0</v>
      </c>
      <c r="H139" s="12">
        <f t="shared" ref="H139:I139" si="36">0+0+0</f>
        <v>0</v>
      </c>
      <c r="I139" s="12">
        <f t="shared" si="36"/>
        <v>0</v>
      </c>
      <c r="J139" s="11" t="s">
        <v>381</v>
      </c>
    </row>
    <row r="140" ht="55.5" customHeight="1">
      <c r="A140" s="10">
        <v>2022.0</v>
      </c>
      <c r="B140" s="12" t="s">
        <v>10</v>
      </c>
      <c r="C140" s="11" t="s">
        <v>240</v>
      </c>
      <c r="D140" s="11" t="s">
        <v>384</v>
      </c>
      <c r="E140" s="11" t="s">
        <v>54</v>
      </c>
      <c r="F140" s="11" t="s">
        <v>385</v>
      </c>
      <c r="G140" s="12">
        <v>50.0</v>
      </c>
      <c r="H140" s="12">
        <f>4+4+4</f>
        <v>12</v>
      </c>
      <c r="I140" s="12">
        <f>5+6+4</f>
        <v>15</v>
      </c>
      <c r="J140" s="11" t="s">
        <v>386</v>
      </c>
    </row>
    <row r="141" ht="54.0" customHeight="1">
      <c r="A141" s="10">
        <v>2022.0</v>
      </c>
      <c r="B141" s="12" t="s">
        <v>10</v>
      </c>
      <c r="C141" s="11" t="s">
        <v>240</v>
      </c>
      <c r="D141" s="11" t="s">
        <v>384</v>
      </c>
      <c r="E141" s="11" t="s">
        <v>387</v>
      </c>
      <c r="F141" s="11" t="s">
        <v>388</v>
      </c>
      <c r="G141" s="12">
        <v>5.0</v>
      </c>
      <c r="H141" s="12">
        <f t="shared" ref="H141:I141" si="37">0+0+1</f>
        <v>1</v>
      </c>
      <c r="I141" s="12">
        <f t="shared" si="37"/>
        <v>1</v>
      </c>
      <c r="J141" s="11" t="s">
        <v>386</v>
      </c>
    </row>
    <row r="142" ht="54.0" customHeight="1">
      <c r="A142" s="10">
        <v>2022.0</v>
      </c>
      <c r="B142" s="12" t="s">
        <v>10</v>
      </c>
      <c r="C142" s="11" t="s">
        <v>240</v>
      </c>
      <c r="D142" s="11" t="s">
        <v>389</v>
      </c>
      <c r="E142" s="11" t="s">
        <v>390</v>
      </c>
      <c r="F142" s="13" t="s">
        <v>391</v>
      </c>
      <c r="G142" s="12">
        <v>44600.0</v>
      </c>
      <c r="H142" s="12">
        <f>300+300+3500</f>
        <v>4100</v>
      </c>
      <c r="I142" s="12">
        <f>2630+4036+3505</f>
        <v>10171</v>
      </c>
      <c r="J142" s="11" t="s">
        <v>392</v>
      </c>
    </row>
    <row r="143" ht="54.0" customHeight="1">
      <c r="A143" s="10">
        <v>2022.0</v>
      </c>
      <c r="B143" s="12" t="s">
        <v>10</v>
      </c>
      <c r="C143" s="11" t="s">
        <v>240</v>
      </c>
      <c r="D143" s="11" t="s">
        <v>389</v>
      </c>
      <c r="E143" s="11" t="s">
        <v>393</v>
      </c>
      <c r="F143" s="13" t="s">
        <v>394</v>
      </c>
      <c r="G143" s="12">
        <v>470.0</v>
      </c>
      <c r="H143" s="12">
        <f>40+40+40</f>
        <v>120</v>
      </c>
      <c r="I143" s="12">
        <f>350+2145+2440</f>
        <v>4935</v>
      </c>
      <c r="J143" s="11" t="s">
        <v>392</v>
      </c>
    </row>
    <row r="144" ht="54.0" customHeight="1">
      <c r="A144" s="10">
        <v>2022.0</v>
      </c>
      <c r="B144" s="12" t="s">
        <v>10</v>
      </c>
      <c r="C144" s="11" t="s">
        <v>240</v>
      </c>
      <c r="D144" s="11" t="s">
        <v>389</v>
      </c>
      <c r="E144" s="11" t="s">
        <v>395</v>
      </c>
      <c r="F144" s="11" t="s">
        <v>396</v>
      </c>
      <c r="G144" s="12">
        <v>22000.0</v>
      </c>
      <c r="H144" s="12">
        <f>1000+1000+2000</f>
        <v>4000</v>
      </c>
      <c r="I144" s="12">
        <f>535+539+773</f>
        <v>1847</v>
      </c>
      <c r="J144" s="11" t="s">
        <v>392</v>
      </c>
    </row>
    <row r="145" ht="54.0" customHeight="1">
      <c r="A145" s="10">
        <v>2022.0</v>
      </c>
      <c r="B145" s="12" t="s">
        <v>10</v>
      </c>
      <c r="C145" s="11" t="s">
        <v>240</v>
      </c>
      <c r="D145" s="11" t="s">
        <v>389</v>
      </c>
      <c r="E145" s="11" t="s">
        <v>397</v>
      </c>
      <c r="F145" s="13" t="s">
        <v>398</v>
      </c>
      <c r="G145" s="12">
        <v>120.0</v>
      </c>
      <c r="H145" s="12">
        <f>10+10+10</f>
        <v>30</v>
      </c>
      <c r="I145" s="12">
        <f>3000+430+2696</f>
        <v>6126</v>
      </c>
      <c r="J145" s="11" t="s">
        <v>392</v>
      </c>
    </row>
    <row r="146" ht="54.0" customHeight="1">
      <c r="A146" s="10">
        <v>2022.0</v>
      </c>
      <c r="B146" s="12" t="s">
        <v>10</v>
      </c>
      <c r="C146" s="11" t="s">
        <v>240</v>
      </c>
      <c r="D146" s="11" t="s">
        <v>389</v>
      </c>
      <c r="E146" s="11" t="s">
        <v>399</v>
      </c>
      <c r="F146" s="11" t="s">
        <v>400</v>
      </c>
      <c r="G146" s="12">
        <v>33.0</v>
      </c>
      <c r="H146" s="12">
        <f>0+3+3</f>
        <v>6</v>
      </c>
      <c r="I146" s="12">
        <v>0.0</v>
      </c>
      <c r="J146" s="11" t="s">
        <v>392</v>
      </c>
    </row>
    <row r="147" ht="54.0" customHeight="1">
      <c r="A147" s="10">
        <v>2022.0</v>
      </c>
      <c r="B147" s="12" t="s">
        <v>10</v>
      </c>
      <c r="C147" s="11" t="s">
        <v>240</v>
      </c>
      <c r="D147" s="11" t="s">
        <v>389</v>
      </c>
      <c r="E147" s="11" t="s">
        <v>401</v>
      </c>
      <c r="F147" s="11" t="s">
        <v>402</v>
      </c>
      <c r="G147" s="12">
        <v>220.0</v>
      </c>
      <c r="H147" s="12">
        <f>5+20+20</f>
        <v>45</v>
      </c>
      <c r="I147" s="12">
        <v>0.0</v>
      </c>
      <c r="J147" s="11" t="s">
        <v>392</v>
      </c>
    </row>
    <row r="148" ht="54.0" customHeight="1">
      <c r="A148" s="10">
        <v>2022.0</v>
      </c>
      <c r="B148" s="12" t="s">
        <v>10</v>
      </c>
      <c r="C148" s="11" t="s">
        <v>240</v>
      </c>
      <c r="D148" s="11" t="s">
        <v>389</v>
      </c>
      <c r="E148" s="11" t="s">
        <v>403</v>
      </c>
      <c r="F148" s="11" t="s">
        <v>404</v>
      </c>
      <c r="G148" s="12">
        <v>9400.0</v>
      </c>
      <c r="H148" s="12">
        <f>0+2000+2000</f>
        <v>4000</v>
      </c>
      <c r="I148" s="12">
        <v>0.0</v>
      </c>
      <c r="J148" s="11" t="s">
        <v>392</v>
      </c>
    </row>
    <row r="149" ht="54.0" customHeight="1">
      <c r="A149" s="10">
        <v>2022.0</v>
      </c>
      <c r="B149" s="12" t="s">
        <v>10</v>
      </c>
      <c r="C149" s="11" t="s">
        <v>240</v>
      </c>
      <c r="D149" s="11" t="s">
        <v>389</v>
      </c>
      <c r="E149" s="11" t="s">
        <v>405</v>
      </c>
      <c r="F149" s="11" t="s">
        <v>406</v>
      </c>
      <c r="G149" s="12">
        <v>5.0</v>
      </c>
      <c r="H149" s="12">
        <f>0+0+1</f>
        <v>1</v>
      </c>
      <c r="I149" s="12">
        <v>0.0</v>
      </c>
      <c r="J149" s="11" t="s">
        <v>392</v>
      </c>
    </row>
    <row r="150" ht="54.0" customHeight="1">
      <c r="A150" s="10">
        <v>2022.0</v>
      </c>
      <c r="B150" s="12" t="s">
        <v>10</v>
      </c>
      <c r="C150" s="11" t="s">
        <v>240</v>
      </c>
      <c r="D150" s="11" t="s">
        <v>389</v>
      </c>
      <c r="E150" s="11" t="s">
        <v>407</v>
      </c>
      <c r="F150" s="11" t="s">
        <v>408</v>
      </c>
      <c r="G150" s="12">
        <v>15400.0</v>
      </c>
      <c r="H150" s="12">
        <f>0+0+1500</f>
        <v>1500</v>
      </c>
      <c r="I150" s="12">
        <v>0.0</v>
      </c>
      <c r="J150" s="11" t="s">
        <v>392</v>
      </c>
    </row>
    <row r="151" ht="63.75" customHeight="1">
      <c r="A151" s="10">
        <v>2022.0</v>
      </c>
      <c r="B151" s="12" t="s">
        <v>10</v>
      </c>
      <c r="C151" s="11" t="s">
        <v>11</v>
      </c>
      <c r="D151" s="11" t="s">
        <v>409</v>
      </c>
      <c r="E151" s="11" t="s">
        <v>410</v>
      </c>
      <c r="F151" s="11" t="s">
        <v>411</v>
      </c>
      <c r="G151" s="20">
        <v>1.0</v>
      </c>
      <c r="H151" s="20">
        <v>0.25</v>
      </c>
      <c r="I151" s="21">
        <v>0.25</v>
      </c>
      <c r="J151" s="11" t="s">
        <v>412</v>
      </c>
    </row>
    <row r="152" ht="66.75" customHeight="1">
      <c r="A152" s="10">
        <v>2022.0</v>
      </c>
      <c r="B152" s="12" t="s">
        <v>10</v>
      </c>
      <c r="C152" s="11" t="s">
        <v>11</v>
      </c>
      <c r="D152" s="11" t="s">
        <v>413</v>
      </c>
      <c r="E152" s="11" t="s">
        <v>414</v>
      </c>
      <c r="F152" s="11" t="s">
        <v>415</v>
      </c>
      <c r="G152" s="12">
        <v>0.0</v>
      </c>
      <c r="H152" s="12">
        <f>8.33+8.33+8.33</f>
        <v>24.99</v>
      </c>
      <c r="I152" s="20">
        <v>0.25</v>
      </c>
      <c r="J152" s="11" t="s">
        <v>416</v>
      </c>
    </row>
    <row r="153" ht="62.25" customHeight="1">
      <c r="A153" s="10">
        <v>2022.0</v>
      </c>
      <c r="B153" s="12" t="s">
        <v>10</v>
      </c>
      <c r="C153" s="11" t="s">
        <v>11</v>
      </c>
      <c r="D153" s="11" t="s">
        <v>417</v>
      </c>
      <c r="E153" s="11" t="s">
        <v>418</v>
      </c>
      <c r="F153" s="11" t="s">
        <v>419</v>
      </c>
      <c r="G153" s="12">
        <v>0.0</v>
      </c>
      <c r="H153" s="23">
        <f>1000+1000+1000</f>
        <v>3000</v>
      </c>
      <c r="I153" s="23">
        <f>1273+37759+1446</f>
        <v>40478</v>
      </c>
      <c r="J153" s="11" t="s">
        <v>420</v>
      </c>
    </row>
    <row r="154" ht="62.25" customHeight="1">
      <c r="A154" s="10">
        <v>2022.0</v>
      </c>
      <c r="B154" s="12" t="s">
        <v>10</v>
      </c>
      <c r="C154" s="11" t="s">
        <v>11</v>
      </c>
      <c r="D154" s="11" t="s">
        <v>417</v>
      </c>
      <c r="E154" s="11" t="s">
        <v>421</v>
      </c>
      <c r="F154" s="11" t="s">
        <v>422</v>
      </c>
      <c r="G154" s="12">
        <v>0.0</v>
      </c>
      <c r="H154" s="23">
        <f>433556+558255+1124405</f>
        <v>2116216</v>
      </c>
      <c r="I154" s="23">
        <f>511+569+823</f>
        <v>1903</v>
      </c>
      <c r="J154" s="11" t="s">
        <v>420</v>
      </c>
    </row>
    <row r="155" ht="63.0" customHeight="1">
      <c r="A155" s="10">
        <v>2022.0</v>
      </c>
      <c r="B155" s="12" t="s">
        <v>10</v>
      </c>
      <c r="C155" s="11" t="s">
        <v>11</v>
      </c>
      <c r="D155" s="11" t="s">
        <v>423</v>
      </c>
      <c r="E155" s="11" t="s">
        <v>424</v>
      </c>
      <c r="F155" s="11" t="s">
        <v>425</v>
      </c>
      <c r="G155" s="12">
        <v>1.0</v>
      </c>
      <c r="H155" s="12">
        <f t="shared" ref="H155:I155" si="38">0+0+0</f>
        <v>0</v>
      </c>
      <c r="I155" s="12">
        <f t="shared" si="38"/>
        <v>0</v>
      </c>
      <c r="J155" s="11" t="s">
        <v>426</v>
      </c>
    </row>
    <row r="156" ht="63.0" customHeight="1">
      <c r="A156" s="10">
        <v>2022.0</v>
      </c>
      <c r="B156" s="12" t="s">
        <v>10</v>
      </c>
      <c r="C156" s="11" t="s">
        <v>11</v>
      </c>
      <c r="D156" s="11" t="s">
        <v>423</v>
      </c>
      <c r="E156" s="11" t="s">
        <v>427</v>
      </c>
      <c r="F156" s="11" t="s">
        <v>428</v>
      </c>
      <c r="G156" s="12">
        <v>123816.0</v>
      </c>
      <c r="H156" s="12">
        <f>10073+8848+12727</f>
        <v>31648</v>
      </c>
      <c r="I156" s="12">
        <f>13416+10185+12095</f>
        <v>35696</v>
      </c>
      <c r="J156" s="11" t="s">
        <v>426</v>
      </c>
    </row>
    <row r="157" ht="63.0" customHeight="1">
      <c r="A157" s="10">
        <v>2022.0</v>
      </c>
      <c r="B157" s="12" t="s">
        <v>10</v>
      </c>
      <c r="C157" s="11" t="s">
        <v>11</v>
      </c>
      <c r="D157" s="11" t="s">
        <v>423</v>
      </c>
      <c r="E157" s="11" t="s">
        <v>429</v>
      </c>
      <c r="F157" s="11" t="s">
        <v>430</v>
      </c>
      <c r="G157" s="23">
        <v>1.51883965E8</v>
      </c>
      <c r="H157" s="23">
        <f>95538686+11819523+7157409</f>
        <v>114515618</v>
      </c>
      <c r="I157" s="23">
        <f>80610692.64+11789153.24+8275023.12</f>
        <v>100674869</v>
      </c>
      <c r="J157" s="11" t="s">
        <v>426</v>
      </c>
    </row>
    <row r="158" ht="63.0" customHeight="1">
      <c r="A158" s="10">
        <v>2022.0</v>
      </c>
      <c r="B158" s="12" t="s">
        <v>10</v>
      </c>
      <c r="C158" s="11" t="s">
        <v>11</v>
      </c>
      <c r="D158" s="11" t="s">
        <v>423</v>
      </c>
      <c r="E158" s="11" t="s">
        <v>431</v>
      </c>
      <c r="F158" s="11" t="s">
        <v>432</v>
      </c>
      <c r="G158" s="12">
        <v>250.0</v>
      </c>
      <c r="H158" s="12">
        <f>35+35+35</f>
        <v>105</v>
      </c>
      <c r="I158" s="12">
        <f>96+39+70</f>
        <v>205</v>
      </c>
      <c r="J158" s="11" t="s">
        <v>426</v>
      </c>
    </row>
    <row r="159" ht="63.0" customHeight="1">
      <c r="A159" s="10">
        <v>2022.0</v>
      </c>
      <c r="B159" s="12" t="s">
        <v>10</v>
      </c>
      <c r="C159" s="11" t="s">
        <v>11</v>
      </c>
      <c r="D159" s="11" t="s">
        <v>423</v>
      </c>
      <c r="E159" s="11" t="s">
        <v>433</v>
      </c>
      <c r="F159" s="11" t="s">
        <v>434</v>
      </c>
      <c r="G159" s="23">
        <v>9.6200321E7</v>
      </c>
      <c r="H159" s="23">
        <f>6396050+6965960+7443851</f>
        <v>20805861</v>
      </c>
      <c r="I159" s="23">
        <f>6161262+6978973+10070635</f>
        <v>23210870</v>
      </c>
      <c r="J159" s="11"/>
    </row>
    <row r="160" ht="63.0" customHeight="1">
      <c r="A160" s="10">
        <v>2022.0</v>
      </c>
      <c r="B160" s="12" t="s">
        <v>10</v>
      </c>
      <c r="C160" s="11" t="s">
        <v>11</v>
      </c>
      <c r="D160" s="11" t="s">
        <v>435</v>
      </c>
      <c r="E160" s="11" t="s">
        <v>436</v>
      </c>
      <c r="F160" s="11" t="s">
        <v>437</v>
      </c>
      <c r="G160" s="12">
        <v>6026.0</v>
      </c>
      <c r="H160" s="12">
        <f>109+476+476</f>
        <v>1061</v>
      </c>
      <c r="I160" s="12">
        <f>200+327+396</f>
        <v>923</v>
      </c>
      <c r="J160" s="11" t="s">
        <v>438</v>
      </c>
    </row>
    <row r="161" ht="63.0" customHeight="1">
      <c r="A161" s="10">
        <v>2022.0</v>
      </c>
      <c r="B161" s="12" t="s">
        <v>10</v>
      </c>
      <c r="C161" s="11" t="s">
        <v>11</v>
      </c>
      <c r="D161" s="11" t="s">
        <v>439</v>
      </c>
      <c r="E161" s="11" t="s">
        <v>440</v>
      </c>
      <c r="F161" s="11" t="s">
        <v>441</v>
      </c>
      <c r="G161" s="12">
        <v>2.0</v>
      </c>
      <c r="H161" s="12">
        <f>0+0+1</f>
        <v>1</v>
      </c>
      <c r="I161" s="12">
        <f>0+0+2</f>
        <v>2</v>
      </c>
      <c r="J161" s="11" t="s">
        <v>442</v>
      </c>
    </row>
    <row r="162" ht="63.0" customHeight="1">
      <c r="A162" s="10">
        <v>2022.0</v>
      </c>
      <c r="B162" s="12" t="s">
        <v>10</v>
      </c>
      <c r="C162" s="11" t="s">
        <v>11</v>
      </c>
      <c r="D162" s="11" t="s">
        <v>439</v>
      </c>
      <c r="E162" s="11" t="s">
        <v>443</v>
      </c>
      <c r="F162" s="11" t="s">
        <v>444</v>
      </c>
      <c r="G162" s="12">
        <v>5.0</v>
      </c>
      <c r="H162" s="12">
        <f>1+0+1</f>
        <v>2</v>
      </c>
      <c r="I162" s="12">
        <f>0+0+0</f>
        <v>0</v>
      </c>
      <c r="J162" s="11" t="s">
        <v>442</v>
      </c>
    </row>
    <row r="163" ht="63.0" customHeight="1">
      <c r="A163" s="10">
        <v>2022.0</v>
      </c>
      <c r="B163" s="12" t="s">
        <v>10</v>
      </c>
      <c r="C163" s="11" t="s">
        <v>11</v>
      </c>
      <c r="D163" s="11" t="s">
        <v>439</v>
      </c>
      <c r="E163" s="11" t="s">
        <v>445</v>
      </c>
      <c r="F163" s="11" t="s">
        <v>446</v>
      </c>
      <c r="G163" s="12">
        <v>2.0</v>
      </c>
      <c r="H163" s="12">
        <f>0+0+0</f>
        <v>0</v>
      </c>
      <c r="I163" s="12">
        <f>0+1+0</f>
        <v>1</v>
      </c>
      <c r="J163" s="11" t="s">
        <v>442</v>
      </c>
    </row>
    <row r="164" ht="51.75" customHeight="1">
      <c r="A164" s="10">
        <v>2022.0</v>
      </c>
      <c r="B164" s="12" t="s">
        <v>10</v>
      </c>
      <c r="C164" s="11" t="s">
        <v>11</v>
      </c>
      <c r="D164" s="13" t="s">
        <v>447</v>
      </c>
      <c r="E164" s="11" t="s">
        <v>448</v>
      </c>
      <c r="F164" s="11" t="s">
        <v>449</v>
      </c>
      <c r="G164" s="12">
        <v>1800.0</v>
      </c>
      <c r="H164" s="12">
        <f>150+150+150</f>
        <v>450</v>
      </c>
      <c r="I164" s="12">
        <f>124+143+137</f>
        <v>404</v>
      </c>
      <c r="J164" s="13" t="s">
        <v>450</v>
      </c>
    </row>
    <row r="165" ht="51.0" customHeight="1">
      <c r="A165" s="10">
        <v>2022.0</v>
      </c>
      <c r="B165" s="12" t="s">
        <v>10</v>
      </c>
      <c r="C165" s="11" t="s">
        <v>350</v>
      </c>
      <c r="D165" s="11" t="s">
        <v>451</v>
      </c>
      <c r="E165" s="11" t="s">
        <v>452</v>
      </c>
      <c r="F165" s="11" t="s">
        <v>453</v>
      </c>
      <c r="G165" s="12">
        <v>0.0</v>
      </c>
      <c r="H165" s="12">
        <f t="shared" ref="H165:I165" si="39">124+112+124</f>
        <v>360</v>
      </c>
      <c r="I165" s="12">
        <f t="shared" si="39"/>
        <v>360</v>
      </c>
      <c r="J165" s="11" t="s">
        <v>454</v>
      </c>
    </row>
    <row r="166" ht="51.75" customHeight="1">
      <c r="A166" s="10">
        <v>2022.0</v>
      </c>
      <c r="B166" s="12" t="s">
        <v>10</v>
      </c>
      <c r="C166" s="11" t="s">
        <v>350</v>
      </c>
      <c r="D166" s="11" t="s">
        <v>451</v>
      </c>
      <c r="E166" s="11" t="s">
        <v>455</v>
      </c>
      <c r="F166" s="11" t="s">
        <v>456</v>
      </c>
      <c r="G166" s="12">
        <v>0.0</v>
      </c>
      <c r="H166" s="12">
        <f t="shared" ref="H166:I166" si="40">212+192+213</f>
        <v>617</v>
      </c>
      <c r="I166" s="12">
        <f t="shared" si="40"/>
        <v>617</v>
      </c>
      <c r="J166" s="11" t="s">
        <v>454</v>
      </c>
    </row>
    <row r="167" ht="52.5" customHeight="1">
      <c r="A167" s="10">
        <v>2022.0</v>
      </c>
      <c r="B167" s="12" t="s">
        <v>10</v>
      </c>
      <c r="C167" s="11" t="s">
        <v>350</v>
      </c>
      <c r="D167" s="11" t="s">
        <v>457</v>
      </c>
      <c r="E167" s="11" t="s">
        <v>458</v>
      </c>
      <c r="F167" s="11" t="s">
        <v>459</v>
      </c>
      <c r="G167" s="12">
        <v>0.0</v>
      </c>
      <c r="H167" s="12">
        <f t="shared" ref="H167:I167" si="41">31+28+31</f>
        <v>90</v>
      </c>
      <c r="I167" s="12">
        <f t="shared" si="41"/>
        <v>90</v>
      </c>
      <c r="J167" s="13" t="s">
        <v>460</v>
      </c>
    </row>
    <row r="168" ht="52.5" customHeight="1">
      <c r="A168" s="10">
        <v>2022.0</v>
      </c>
      <c r="B168" s="12" t="s">
        <v>10</v>
      </c>
      <c r="C168" s="11" t="s">
        <v>350</v>
      </c>
      <c r="D168" s="11" t="s">
        <v>457</v>
      </c>
      <c r="E168" s="11" t="s">
        <v>458</v>
      </c>
      <c r="F168" s="11" t="s">
        <v>459</v>
      </c>
      <c r="G168" s="12">
        <v>0.0</v>
      </c>
      <c r="H168" s="12">
        <f t="shared" ref="H168:I168" si="42">31+28+31</f>
        <v>90</v>
      </c>
      <c r="I168" s="12">
        <f t="shared" si="42"/>
        <v>90</v>
      </c>
      <c r="J168" s="13" t="s">
        <v>460</v>
      </c>
    </row>
    <row r="169" ht="52.5" customHeight="1">
      <c r="A169" s="10">
        <v>2022.0</v>
      </c>
      <c r="B169" s="12" t="s">
        <v>10</v>
      </c>
      <c r="C169" s="11" t="s">
        <v>350</v>
      </c>
      <c r="D169" s="11" t="s">
        <v>457</v>
      </c>
      <c r="E169" s="11" t="s">
        <v>458</v>
      </c>
      <c r="F169" s="11" t="s">
        <v>459</v>
      </c>
      <c r="G169" s="12">
        <v>0.0</v>
      </c>
      <c r="H169" s="12">
        <f t="shared" ref="H169:I169" si="43">31+28+31</f>
        <v>90</v>
      </c>
      <c r="I169" s="12">
        <f t="shared" si="43"/>
        <v>90</v>
      </c>
      <c r="J169" s="13" t="s">
        <v>460</v>
      </c>
    </row>
    <row r="170" ht="52.5" customHeight="1">
      <c r="A170" s="10">
        <v>2022.0</v>
      </c>
      <c r="B170" s="12" t="s">
        <v>10</v>
      </c>
      <c r="C170" s="11" t="s">
        <v>350</v>
      </c>
      <c r="D170" s="11" t="s">
        <v>457</v>
      </c>
      <c r="E170" s="11" t="s">
        <v>458</v>
      </c>
      <c r="F170" s="11" t="s">
        <v>459</v>
      </c>
      <c r="G170" s="12">
        <v>0.0</v>
      </c>
      <c r="H170" s="12">
        <f t="shared" ref="H170:I170" si="44">31+28+31</f>
        <v>90</v>
      </c>
      <c r="I170" s="12">
        <f t="shared" si="44"/>
        <v>90</v>
      </c>
      <c r="J170" s="13" t="s">
        <v>460</v>
      </c>
    </row>
    <row r="171" ht="51.0" customHeight="1">
      <c r="A171" s="10">
        <v>2022.0</v>
      </c>
      <c r="B171" s="12" t="s">
        <v>10</v>
      </c>
      <c r="C171" s="11" t="s">
        <v>350</v>
      </c>
      <c r="D171" s="11" t="s">
        <v>461</v>
      </c>
      <c r="E171" s="11" t="s">
        <v>458</v>
      </c>
      <c r="F171" s="11" t="s">
        <v>459</v>
      </c>
      <c r="G171" s="12">
        <v>365.0</v>
      </c>
      <c r="H171" s="12">
        <f t="shared" ref="H171:I171" si="45">31+28+31</f>
        <v>90</v>
      </c>
      <c r="I171" s="12">
        <f t="shared" si="45"/>
        <v>90</v>
      </c>
      <c r="J171" s="13" t="s">
        <v>460</v>
      </c>
    </row>
    <row r="172" ht="51.0" customHeight="1">
      <c r="A172" s="10">
        <v>2022.0</v>
      </c>
      <c r="B172" s="12" t="s">
        <v>10</v>
      </c>
      <c r="C172" s="11" t="s">
        <v>350</v>
      </c>
      <c r="D172" s="11" t="s">
        <v>461</v>
      </c>
      <c r="E172" s="11" t="s">
        <v>458</v>
      </c>
      <c r="F172" s="11" t="s">
        <v>459</v>
      </c>
      <c r="G172" s="12">
        <v>365.0</v>
      </c>
      <c r="H172" s="12">
        <f t="shared" ref="H172:I172" si="46">31+28+31</f>
        <v>90</v>
      </c>
      <c r="I172" s="12">
        <f t="shared" si="46"/>
        <v>90</v>
      </c>
      <c r="J172" s="13" t="s">
        <v>460</v>
      </c>
    </row>
    <row r="173" ht="82.5" customHeight="1">
      <c r="A173" s="10">
        <v>2022.0</v>
      </c>
      <c r="B173" s="12" t="s">
        <v>10</v>
      </c>
      <c r="C173" s="11" t="s">
        <v>11</v>
      </c>
      <c r="D173" s="11" t="s">
        <v>462</v>
      </c>
      <c r="E173" s="11" t="s">
        <v>463</v>
      </c>
      <c r="F173" s="11" t="s">
        <v>464</v>
      </c>
      <c r="G173" s="12">
        <v>0.0</v>
      </c>
      <c r="H173" s="12">
        <f t="shared" ref="H173:I173" si="47">0+0+0</f>
        <v>0</v>
      </c>
      <c r="I173" s="12">
        <f t="shared" si="47"/>
        <v>0</v>
      </c>
      <c r="J173" s="11" t="s">
        <v>412</v>
      </c>
    </row>
    <row r="174" ht="82.5" customHeight="1">
      <c r="A174" s="10">
        <v>2022.0</v>
      </c>
      <c r="B174" s="12" t="s">
        <v>10</v>
      </c>
      <c r="C174" s="11" t="s">
        <v>11</v>
      </c>
      <c r="D174" s="11" t="s">
        <v>462</v>
      </c>
      <c r="E174" s="11" t="s">
        <v>465</v>
      </c>
      <c r="F174" s="11" t="s">
        <v>466</v>
      </c>
      <c r="G174" s="12">
        <v>366.0</v>
      </c>
      <c r="H174" s="12">
        <f t="shared" ref="H174:I174" si="48">0+0+0</f>
        <v>0</v>
      </c>
      <c r="I174" s="12">
        <f t="shared" si="48"/>
        <v>0</v>
      </c>
      <c r="J174" s="11" t="s">
        <v>412</v>
      </c>
    </row>
    <row r="175" ht="57.75" customHeight="1">
      <c r="A175" s="10">
        <v>2022.0</v>
      </c>
      <c r="B175" s="12" t="s">
        <v>10</v>
      </c>
      <c r="C175" s="11" t="s">
        <v>350</v>
      </c>
      <c r="D175" s="11" t="s">
        <v>467</v>
      </c>
      <c r="E175" s="11" t="s">
        <v>468</v>
      </c>
      <c r="F175" s="11" t="s">
        <v>469</v>
      </c>
      <c r="G175" s="12">
        <v>2500.0</v>
      </c>
      <c r="H175" s="12">
        <f>0+0+400</f>
        <v>400</v>
      </c>
      <c r="I175" s="12">
        <f>23+298+617</f>
        <v>938</v>
      </c>
      <c r="J175" s="11" t="s">
        <v>470</v>
      </c>
    </row>
    <row r="176" ht="57.75" customHeight="1">
      <c r="A176" s="10">
        <v>2022.0</v>
      </c>
      <c r="B176" s="12" t="s">
        <v>10</v>
      </c>
      <c r="C176" s="11" t="s">
        <v>350</v>
      </c>
      <c r="D176" s="11" t="s">
        <v>467</v>
      </c>
      <c r="E176" s="11" t="s">
        <v>471</v>
      </c>
      <c r="F176" s="11" t="s">
        <v>472</v>
      </c>
      <c r="G176" s="12">
        <v>530.0</v>
      </c>
      <c r="H176" s="12">
        <f>11+11+11</f>
        <v>33</v>
      </c>
      <c r="I176" s="12">
        <f>14+12+12</f>
        <v>38</v>
      </c>
      <c r="J176" s="11" t="s">
        <v>470</v>
      </c>
    </row>
    <row r="177" ht="57.75" customHeight="1">
      <c r="A177" s="10">
        <v>2022.0</v>
      </c>
      <c r="B177" s="12" t="s">
        <v>10</v>
      </c>
      <c r="C177" s="11" t="s">
        <v>350</v>
      </c>
      <c r="D177" s="11" t="s">
        <v>467</v>
      </c>
      <c r="E177" s="11" t="s">
        <v>473</v>
      </c>
      <c r="F177" s="11" t="s">
        <v>474</v>
      </c>
      <c r="G177" s="12">
        <v>48.0</v>
      </c>
      <c r="H177" s="12">
        <f>4+4+4</f>
        <v>12</v>
      </c>
      <c r="I177" s="12">
        <f>1+4+2</f>
        <v>7</v>
      </c>
      <c r="J177" s="11" t="s">
        <v>470</v>
      </c>
    </row>
    <row r="178" ht="57.75" customHeight="1">
      <c r="A178" s="10">
        <v>2022.0</v>
      </c>
      <c r="B178" s="12" t="s">
        <v>10</v>
      </c>
      <c r="C178" s="11" t="s">
        <v>350</v>
      </c>
      <c r="D178" s="11" t="s">
        <v>467</v>
      </c>
      <c r="E178" s="11" t="s">
        <v>475</v>
      </c>
      <c r="F178" s="11" t="s">
        <v>101</v>
      </c>
      <c r="G178" s="12">
        <v>36.0</v>
      </c>
      <c r="H178" s="12">
        <f>8+8+8</f>
        <v>24</v>
      </c>
      <c r="I178" s="12">
        <f>9+7+12</f>
        <v>28</v>
      </c>
      <c r="J178" s="11" t="s">
        <v>470</v>
      </c>
    </row>
    <row r="179" ht="57.75" customHeight="1">
      <c r="A179" s="10">
        <v>2022.0</v>
      </c>
      <c r="B179" s="12" t="s">
        <v>10</v>
      </c>
      <c r="C179" s="11" t="s">
        <v>350</v>
      </c>
      <c r="D179" s="11" t="s">
        <v>467</v>
      </c>
      <c r="E179" s="11" t="s">
        <v>476</v>
      </c>
      <c r="F179" s="11" t="s">
        <v>477</v>
      </c>
      <c r="G179" s="12">
        <v>4.0</v>
      </c>
      <c r="H179" s="12">
        <f>0+0+0</f>
        <v>0</v>
      </c>
      <c r="I179" s="12">
        <f>1+2+3</f>
        <v>6</v>
      </c>
      <c r="J179" s="11" t="s">
        <v>470</v>
      </c>
    </row>
    <row r="180" ht="57.75" customHeight="1">
      <c r="A180" s="10">
        <v>2022.0</v>
      </c>
      <c r="B180" s="12" t="s">
        <v>10</v>
      </c>
      <c r="C180" s="11" t="s">
        <v>350</v>
      </c>
      <c r="D180" s="11" t="s">
        <v>478</v>
      </c>
      <c r="E180" s="11" t="s">
        <v>479</v>
      </c>
      <c r="F180" s="11" t="s">
        <v>480</v>
      </c>
      <c r="G180" s="12">
        <v>8000.0</v>
      </c>
      <c r="H180" s="12">
        <f>667+666+667</f>
        <v>2000</v>
      </c>
      <c r="I180" s="12">
        <f>1040+1041+1194</f>
        <v>3275</v>
      </c>
      <c r="J180" s="11" t="s">
        <v>470</v>
      </c>
    </row>
    <row r="181" ht="48.0" customHeight="1">
      <c r="A181" s="10">
        <v>2022.0</v>
      </c>
      <c r="B181" s="12" t="s">
        <v>10</v>
      </c>
      <c r="C181" s="11" t="s">
        <v>11</v>
      </c>
      <c r="D181" s="11" t="s">
        <v>481</v>
      </c>
      <c r="E181" s="11" t="s">
        <v>482</v>
      </c>
      <c r="F181" s="11" t="s">
        <v>483</v>
      </c>
      <c r="G181" s="12">
        <v>24.0</v>
      </c>
      <c r="H181" s="12">
        <f t="shared" ref="H181:I181" si="49">2+2+2</f>
        <v>6</v>
      </c>
      <c r="I181" s="12">
        <f t="shared" si="49"/>
        <v>6</v>
      </c>
      <c r="J181" s="11" t="s">
        <v>484</v>
      </c>
    </row>
    <row r="182" ht="48.0" customHeight="1">
      <c r="A182" s="10">
        <v>2022.0</v>
      </c>
      <c r="B182" s="12" t="s">
        <v>10</v>
      </c>
      <c r="C182" s="11" t="s">
        <v>11</v>
      </c>
      <c r="D182" s="11" t="s">
        <v>481</v>
      </c>
      <c r="E182" s="11" t="s">
        <v>485</v>
      </c>
      <c r="F182" s="11" t="s">
        <v>486</v>
      </c>
      <c r="G182" s="12">
        <v>0.0</v>
      </c>
      <c r="H182" s="22">
        <f>21+21+21</f>
        <v>63</v>
      </c>
      <c r="I182" s="12">
        <f>21+21+2</f>
        <v>44</v>
      </c>
      <c r="J182" s="11" t="s">
        <v>484</v>
      </c>
    </row>
    <row r="183" ht="56.25" customHeight="1">
      <c r="A183" s="10">
        <v>2022.0</v>
      </c>
      <c r="B183" s="12" t="s">
        <v>10</v>
      </c>
      <c r="C183" s="11" t="s">
        <v>11</v>
      </c>
      <c r="D183" s="11" t="s">
        <v>487</v>
      </c>
      <c r="E183" s="11" t="s">
        <v>488</v>
      </c>
      <c r="F183" s="11" t="s">
        <v>489</v>
      </c>
      <c r="G183" s="12">
        <v>12.0</v>
      </c>
      <c r="H183" s="12">
        <f t="shared" ref="H183:I183" si="50">1+1+1</f>
        <v>3</v>
      </c>
      <c r="I183" s="12">
        <f t="shared" si="50"/>
        <v>3</v>
      </c>
      <c r="J183" s="11" t="s">
        <v>490</v>
      </c>
    </row>
    <row r="184" ht="55.5" customHeight="1">
      <c r="A184" s="10">
        <v>2022.0</v>
      </c>
      <c r="B184" s="12" t="s">
        <v>10</v>
      </c>
      <c r="C184" s="11" t="s">
        <v>11</v>
      </c>
      <c r="D184" s="11" t="s">
        <v>487</v>
      </c>
      <c r="E184" s="11" t="s">
        <v>491</v>
      </c>
      <c r="F184" s="11" t="s">
        <v>492</v>
      </c>
      <c r="G184" s="12">
        <v>12.0</v>
      </c>
      <c r="H184" s="12">
        <f t="shared" ref="H184:I184" si="51">1+1+1</f>
        <v>3</v>
      </c>
      <c r="I184" s="12">
        <f t="shared" si="51"/>
        <v>3</v>
      </c>
      <c r="J184" s="11" t="s">
        <v>493</v>
      </c>
    </row>
    <row r="185" ht="56.25" customHeight="1">
      <c r="A185" s="10">
        <v>2022.0</v>
      </c>
      <c r="B185" s="12" t="s">
        <v>10</v>
      </c>
      <c r="C185" s="11" t="s">
        <v>11</v>
      </c>
      <c r="D185" s="11" t="s">
        <v>494</v>
      </c>
      <c r="E185" s="11" t="s">
        <v>495</v>
      </c>
      <c r="F185" s="11" t="s">
        <v>496</v>
      </c>
      <c r="G185" s="12">
        <v>0.0</v>
      </c>
      <c r="H185" s="22">
        <f t="shared" ref="H185:I185" si="52">2+2+2</f>
        <v>6</v>
      </c>
      <c r="I185" s="12">
        <f t="shared" si="52"/>
        <v>6</v>
      </c>
      <c r="J185" s="13" t="s">
        <v>497</v>
      </c>
    </row>
    <row r="186" ht="56.25" customHeight="1">
      <c r="A186" s="10">
        <v>2022.0</v>
      </c>
      <c r="B186" s="12" t="s">
        <v>10</v>
      </c>
      <c r="C186" s="11" t="s">
        <v>11</v>
      </c>
      <c r="D186" s="11" t="s">
        <v>494</v>
      </c>
      <c r="E186" s="11" t="s">
        <v>498</v>
      </c>
      <c r="F186" s="11" t="s">
        <v>499</v>
      </c>
      <c r="G186" s="12">
        <v>0.0</v>
      </c>
      <c r="H186" s="22">
        <f>0+1+1</f>
        <v>2</v>
      </c>
      <c r="I186" s="12">
        <f>1+5</f>
        <v>6</v>
      </c>
      <c r="J186" s="13" t="s">
        <v>497</v>
      </c>
    </row>
    <row r="187" ht="69.0" customHeight="1">
      <c r="A187" s="10">
        <v>2022.0</v>
      </c>
      <c r="B187" s="12" t="s">
        <v>10</v>
      </c>
      <c r="C187" s="11" t="s">
        <v>11</v>
      </c>
      <c r="D187" s="11" t="s">
        <v>500</v>
      </c>
      <c r="E187" s="11" t="s">
        <v>501</v>
      </c>
      <c r="F187" s="11" t="s">
        <v>502</v>
      </c>
      <c r="G187" s="12">
        <v>108.0</v>
      </c>
      <c r="H187" s="12">
        <f t="shared" ref="H187:I187" si="53">9+9+9</f>
        <v>27</v>
      </c>
      <c r="I187" s="12">
        <f t="shared" si="53"/>
        <v>27</v>
      </c>
      <c r="J187" s="11" t="s">
        <v>503</v>
      </c>
    </row>
    <row r="188" ht="55.5" customHeight="1">
      <c r="A188" s="10">
        <v>2022.0</v>
      </c>
      <c r="B188" s="12" t="s">
        <v>10</v>
      </c>
      <c r="C188" s="11" t="s">
        <v>11</v>
      </c>
      <c r="D188" s="11" t="s">
        <v>504</v>
      </c>
      <c r="E188" s="11" t="s">
        <v>505</v>
      </c>
      <c r="F188" s="11" t="s">
        <v>506</v>
      </c>
      <c r="G188" s="12">
        <v>14.0</v>
      </c>
      <c r="H188" s="12">
        <f>1+1+0</f>
        <v>2</v>
      </c>
      <c r="I188" s="12">
        <f>2+0+0</f>
        <v>2</v>
      </c>
      <c r="J188" s="11" t="s">
        <v>507</v>
      </c>
    </row>
    <row r="189" ht="55.5" customHeight="1">
      <c r="A189" s="10">
        <v>2022.0</v>
      </c>
      <c r="B189" s="12" t="s">
        <v>10</v>
      </c>
      <c r="C189" s="11" t="s">
        <v>11</v>
      </c>
      <c r="D189" s="11" t="s">
        <v>504</v>
      </c>
      <c r="E189" s="11" t="s">
        <v>508</v>
      </c>
      <c r="F189" s="11" t="s">
        <v>509</v>
      </c>
      <c r="G189" s="12">
        <v>27.0</v>
      </c>
      <c r="H189" s="12">
        <f t="shared" ref="H189:I189" si="54">4+4+4</f>
        <v>12</v>
      </c>
      <c r="I189" s="12">
        <f t="shared" si="54"/>
        <v>12</v>
      </c>
      <c r="J189" s="11"/>
    </row>
    <row r="190" ht="55.5" customHeight="1">
      <c r="A190" s="10">
        <v>2022.0</v>
      </c>
      <c r="B190" s="12" t="s">
        <v>10</v>
      </c>
      <c r="C190" s="11" t="s">
        <v>11</v>
      </c>
      <c r="D190" s="11" t="s">
        <v>504</v>
      </c>
      <c r="E190" s="11" t="s">
        <v>510</v>
      </c>
      <c r="F190" s="11" t="s">
        <v>511</v>
      </c>
      <c r="G190" s="12">
        <v>0.0</v>
      </c>
      <c r="H190" s="12">
        <f t="shared" ref="H190:I190" si="55">2+0+0</f>
        <v>2</v>
      </c>
      <c r="I190" s="12">
        <f t="shared" si="55"/>
        <v>2</v>
      </c>
      <c r="J190" s="11" t="s">
        <v>507</v>
      </c>
    </row>
    <row r="191" ht="55.5" customHeight="1">
      <c r="A191" s="10">
        <v>2022.0</v>
      </c>
      <c r="B191" s="12" t="s">
        <v>10</v>
      </c>
      <c r="C191" s="11" t="s">
        <v>11</v>
      </c>
      <c r="D191" s="11" t="s">
        <v>512</v>
      </c>
      <c r="E191" s="11" t="s">
        <v>513</v>
      </c>
      <c r="F191" s="11" t="s">
        <v>514</v>
      </c>
      <c r="G191" s="12">
        <v>625.0</v>
      </c>
      <c r="H191" s="12">
        <f>22+29+34</f>
        <v>85</v>
      </c>
      <c r="I191" s="12">
        <f>33+105+155</f>
        <v>293</v>
      </c>
      <c r="J191" s="11" t="s">
        <v>515</v>
      </c>
    </row>
    <row r="192" ht="55.5" customHeight="1">
      <c r="A192" s="10">
        <v>2022.0</v>
      </c>
      <c r="B192" s="12" t="s">
        <v>10</v>
      </c>
      <c r="C192" s="11" t="s">
        <v>11</v>
      </c>
      <c r="D192" s="11" t="s">
        <v>512</v>
      </c>
      <c r="E192" s="11" t="s">
        <v>516</v>
      </c>
      <c r="F192" s="11" t="s">
        <v>517</v>
      </c>
      <c r="G192" s="12">
        <v>158.0</v>
      </c>
      <c r="H192" s="12">
        <f>4+6+9</f>
        <v>19</v>
      </c>
      <c r="I192" s="12">
        <f>6+6+6</f>
        <v>18</v>
      </c>
      <c r="J192" s="11" t="s">
        <v>515</v>
      </c>
    </row>
    <row r="193" ht="55.5" customHeight="1">
      <c r="A193" s="10">
        <v>2022.0</v>
      </c>
      <c r="B193" s="12" t="s">
        <v>10</v>
      </c>
      <c r="C193" s="11" t="s">
        <v>11</v>
      </c>
      <c r="D193" s="11" t="s">
        <v>512</v>
      </c>
      <c r="E193" s="11" t="s">
        <v>518</v>
      </c>
      <c r="F193" s="11" t="s">
        <v>519</v>
      </c>
      <c r="G193" s="12">
        <v>364.0</v>
      </c>
      <c r="H193" s="12">
        <f>30+30+30</f>
        <v>90</v>
      </c>
      <c r="I193" s="12">
        <f>30+30+32</f>
        <v>92</v>
      </c>
      <c r="J193" s="11" t="s">
        <v>515</v>
      </c>
    </row>
    <row r="194" ht="55.5" customHeight="1">
      <c r="A194" s="10">
        <v>2022.0</v>
      </c>
      <c r="B194" s="12" t="s">
        <v>10</v>
      </c>
      <c r="C194" s="11" t="s">
        <v>11</v>
      </c>
      <c r="D194" s="11" t="s">
        <v>512</v>
      </c>
      <c r="E194" s="11" t="s">
        <v>520</v>
      </c>
      <c r="F194" s="11" t="s">
        <v>521</v>
      </c>
      <c r="G194" s="12">
        <v>36.0</v>
      </c>
      <c r="H194" s="12">
        <f t="shared" ref="H194:I194" si="56">3+3+3</f>
        <v>9</v>
      </c>
      <c r="I194" s="12">
        <f t="shared" si="56"/>
        <v>9</v>
      </c>
      <c r="J194" s="11" t="s">
        <v>515</v>
      </c>
    </row>
    <row r="195" ht="55.5" customHeight="1">
      <c r="A195" s="10">
        <v>2022.0</v>
      </c>
      <c r="B195" s="12" t="s">
        <v>10</v>
      </c>
      <c r="C195" s="11" t="s">
        <v>11</v>
      </c>
      <c r="D195" s="11" t="s">
        <v>512</v>
      </c>
      <c r="E195" s="11" t="s">
        <v>522</v>
      </c>
      <c r="F195" s="11" t="s">
        <v>523</v>
      </c>
      <c r="G195" s="12">
        <v>13.0</v>
      </c>
      <c r="H195" s="12">
        <f t="shared" ref="H195:I195" si="57">3+0+0</f>
        <v>3</v>
      </c>
      <c r="I195" s="12">
        <f t="shared" si="57"/>
        <v>3</v>
      </c>
      <c r="J195" s="11" t="s">
        <v>515</v>
      </c>
    </row>
    <row r="196" ht="83.25" customHeight="1">
      <c r="A196" s="10">
        <v>2022.0</v>
      </c>
      <c r="B196" s="12" t="s">
        <v>10</v>
      </c>
      <c r="C196" s="11" t="s">
        <v>31</v>
      </c>
      <c r="D196" s="11" t="s">
        <v>524</v>
      </c>
      <c r="E196" s="11" t="s">
        <v>525</v>
      </c>
      <c r="F196" s="11" t="s">
        <v>526</v>
      </c>
      <c r="G196" s="12">
        <v>2273.0</v>
      </c>
      <c r="H196" s="12">
        <f>250+300+250</f>
        <v>800</v>
      </c>
      <c r="I196" s="12">
        <f>149+203+262</f>
        <v>614</v>
      </c>
      <c r="J196" s="13" t="s">
        <v>527</v>
      </c>
    </row>
    <row r="197" ht="83.25" customHeight="1">
      <c r="A197" s="10">
        <v>2022.0</v>
      </c>
      <c r="B197" s="12" t="s">
        <v>10</v>
      </c>
      <c r="C197" s="11" t="s">
        <v>31</v>
      </c>
      <c r="D197" s="11" t="s">
        <v>524</v>
      </c>
      <c r="E197" s="11" t="s">
        <v>528</v>
      </c>
      <c r="F197" s="11" t="s">
        <v>529</v>
      </c>
      <c r="G197" s="12">
        <v>435.0</v>
      </c>
      <c r="H197" s="12">
        <f>30+45+30</f>
        <v>105</v>
      </c>
      <c r="I197" s="12">
        <f>8+21+54</f>
        <v>83</v>
      </c>
      <c r="J197" s="13" t="s">
        <v>527</v>
      </c>
    </row>
    <row r="198" ht="83.25" customHeight="1">
      <c r="A198" s="10">
        <v>2022.0</v>
      </c>
      <c r="B198" s="12" t="s">
        <v>10</v>
      </c>
      <c r="C198" s="11" t="s">
        <v>31</v>
      </c>
      <c r="D198" s="11" t="s">
        <v>524</v>
      </c>
      <c r="E198" s="13" t="s">
        <v>530</v>
      </c>
      <c r="F198" s="13" t="s">
        <v>531</v>
      </c>
      <c r="G198" s="12">
        <v>10.0</v>
      </c>
      <c r="H198" s="12">
        <f>2+2+2</f>
        <v>6</v>
      </c>
      <c r="I198" s="12">
        <f>1+1+3</f>
        <v>5</v>
      </c>
      <c r="J198" s="13" t="s">
        <v>527</v>
      </c>
    </row>
    <row r="199" ht="83.25" customHeight="1">
      <c r="A199" s="10">
        <v>2022.0</v>
      </c>
      <c r="B199" s="12" t="s">
        <v>10</v>
      </c>
      <c r="C199" s="11" t="s">
        <v>31</v>
      </c>
      <c r="D199" s="11" t="s">
        <v>524</v>
      </c>
      <c r="E199" s="11" t="s">
        <v>532</v>
      </c>
      <c r="F199" s="11" t="s">
        <v>533</v>
      </c>
      <c r="G199" s="12">
        <v>190.0</v>
      </c>
      <c r="H199" s="12">
        <f>0+125+0</f>
        <v>125</v>
      </c>
      <c r="I199" s="12">
        <f>0+0+0</f>
        <v>0</v>
      </c>
      <c r="J199" s="13" t="s">
        <v>527</v>
      </c>
    </row>
    <row r="200" ht="83.25" customHeight="1">
      <c r="A200" s="10">
        <v>2022.0</v>
      </c>
      <c r="B200" s="12" t="s">
        <v>10</v>
      </c>
      <c r="C200" s="11" t="s">
        <v>31</v>
      </c>
      <c r="D200" s="11" t="s">
        <v>524</v>
      </c>
      <c r="E200" s="11" t="s">
        <v>534</v>
      </c>
      <c r="F200" s="11" t="s">
        <v>453</v>
      </c>
      <c r="G200" s="12">
        <v>175.0</v>
      </c>
      <c r="H200" s="12">
        <f>12+12+12</f>
        <v>36</v>
      </c>
      <c r="I200" s="12">
        <f>8+18+24</f>
        <v>50</v>
      </c>
      <c r="J200" s="13" t="s">
        <v>527</v>
      </c>
    </row>
    <row r="201" ht="69.75" customHeight="1">
      <c r="A201" s="10">
        <v>2022.0</v>
      </c>
      <c r="B201" s="12" t="s">
        <v>10</v>
      </c>
      <c r="C201" s="11" t="s">
        <v>31</v>
      </c>
      <c r="D201" s="11" t="s">
        <v>535</v>
      </c>
      <c r="E201" s="11" t="s">
        <v>536</v>
      </c>
      <c r="F201" s="11" t="s">
        <v>537</v>
      </c>
      <c r="G201" s="12">
        <v>6.0</v>
      </c>
      <c r="H201" s="12">
        <f>6+4+0</f>
        <v>10</v>
      </c>
      <c r="I201" s="12">
        <f>0+0+1</f>
        <v>1</v>
      </c>
      <c r="J201" s="13" t="s">
        <v>527</v>
      </c>
    </row>
    <row r="202" ht="69.75" customHeight="1">
      <c r="A202" s="10">
        <v>2022.0</v>
      </c>
      <c r="B202" s="12" t="s">
        <v>10</v>
      </c>
      <c r="C202" s="11" t="s">
        <v>31</v>
      </c>
      <c r="D202" s="11" t="s">
        <v>535</v>
      </c>
      <c r="E202" s="11" t="s">
        <v>538</v>
      </c>
      <c r="F202" s="11" t="s">
        <v>539</v>
      </c>
      <c r="G202" s="12">
        <v>86.0</v>
      </c>
      <c r="H202" s="12">
        <f>0+0+25</f>
        <v>25</v>
      </c>
      <c r="I202" s="12">
        <f>0+0+0</f>
        <v>0</v>
      </c>
      <c r="J202" s="13" t="s">
        <v>527</v>
      </c>
    </row>
    <row r="203" ht="70.5" customHeight="1">
      <c r="A203" s="10">
        <v>2022.0</v>
      </c>
      <c r="B203" s="12" t="s">
        <v>10</v>
      </c>
      <c r="C203" s="11" t="s">
        <v>31</v>
      </c>
      <c r="D203" s="11" t="s">
        <v>540</v>
      </c>
      <c r="E203" s="11" t="s">
        <v>541</v>
      </c>
      <c r="F203" s="11" t="s">
        <v>542</v>
      </c>
      <c r="G203" s="12">
        <v>39.0</v>
      </c>
      <c r="H203" s="12">
        <f t="shared" ref="H203:H204" si="58">2+2+2</f>
        <v>6</v>
      </c>
      <c r="I203" s="12">
        <f>4+1+2</f>
        <v>7</v>
      </c>
      <c r="J203" s="11" t="s">
        <v>543</v>
      </c>
    </row>
    <row r="204" ht="70.5" customHeight="1">
      <c r="A204" s="10">
        <v>2022.0</v>
      </c>
      <c r="B204" s="12" t="s">
        <v>10</v>
      </c>
      <c r="C204" s="11" t="s">
        <v>31</v>
      </c>
      <c r="D204" s="11" t="s">
        <v>540</v>
      </c>
      <c r="E204" s="11" t="s">
        <v>544</v>
      </c>
      <c r="F204" s="11" t="s">
        <v>545</v>
      </c>
      <c r="G204" s="12">
        <v>41.0</v>
      </c>
      <c r="H204" s="12">
        <f t="shared" si="58"/>
        <v>6</v>
      </c>
      <c r="I204" s="12">
        <f>4+4+1</f>
        <v>9</v>
      </c>
      <c r="J204" s="11" t="s">
        <v>543</v>
      </c>
    </row>
    <row r="205" ht="69.75" customHeight="1">
      <c r="A205" s="10">
        <v>2022.0</v>
      </c>
      <c r="B205" s="12" t="s">
        <v>10</v>
      </c>
      <c r="C205" s="11" t="s">
        <v>31</v>
      </c>
      <c r="D205" s="11" t="s">
        <v>546</v>
      </c>
      <c r="E205" s="11" t="s">
        <v>547</v>
      </c>
      <c r="F205" s="11" t="s">
        <v>548</v>
      </c>
      <c r="G205" s="12">
        <v>89.0</v>
      </c>
      <c r="H205" s="12">
        <f>8+8+8</f>
        <v>24</v>
      </c>
      <c r="I205" s="12">
        <f>0+0+0</f>
        <v>0</v>
      </c>
      <c r="J205" s="11" t="s">
        <v>549</v>
      </c>
    </row>
    <row r="206" ht="70.5" customHeight="1">
      <c r="A206" s="10">
        <v>2022.0</v>
      </c>
      <c r="B206" s="12" t="s">
        <v>10</v>
      </c>
      <c r="C206" s="11" t="s">
        <v>31</v>
      </c>
      <c r="D206" s="11" t="s">
        <v>550</v>
      </c>
      <c r="E206" s="11" t="s">
        <v>551</v>
      </c>
      <c r="F206" s="11" t="s">
        <v>552</v>
      </c>
      <c r="G206" s="12">
        <v>0.0</v>
      </c>
      <c r="H206" s="12">
        <f>37+37+37</f>
        <v>111</v>
      </c>
      <c r="I206" s="12">
        <f>19+19+19</f>
        <v>57</v>
      </c>
      <c r="J206" s="11" t="s">
        <v>549</v>
      </c>
    </row>
    <row r="207" ht="70.5" customHeight="1">
      <c r="A207" s="10">
        <v>2022.0</v>
      </c>
      <c r="B207" s="12" t="s">
        <v>10</v>
      </c>
      <c r="C207" s="11" t="s">
        <v>31</v>
      </c>
      <c r="D207" s="11" t="s">
        <v>550</v>
      </c>
      <c r="E207" s="11" t="s">
        <v>553</v>
      </c>
      <c r="F207" s="11" t="s">
        <v>554</v>
      </c>
      <c r="G207" s="12">
        <v>0.0</v>
      </c>
      <c r="H207" s="12">
        <f>1258+1406+1480</f>
        <v>4144</v>
      </c>
      <c r="I207" s="12">
        <f>0+184+406</f>
        <v>590</v>
      </c>
      <c r="J207" s="11" t="s">
        <v>549</v>
      </c>
    </row>
    <row r="208" ht="70.5" customHeight="1">
      <c r="A208" s="10">
        <v>2022.0</v>
      </c>
      <c r="B208" s="12" t="s">
        <v>10</v>
      </c>
      <c r="C208" s="11" t="s">
        <v>31</v>
      </c>
      <c r="D208" s="11" t="s">
        <v>555</v>
      </c>
      <c r="E208" s="11" t="s">
        <v>551</v>
      </c>
      <c r="F208" s="11" t="s">
        <v>552</v>
      </c>
      <c r="G208" s="12">
        <v>0.0</v>
      </c>
      <c r="H208" s="12">
        <f>55+55+55</f>
        <v>165</v>
      </c>
      <c r="I208" s="12">
        <f>37+35+35</f>
        <v>107</v>
      </c>
      <c r="J208" s="11" t="s">
        <v>549</v>
      </c>
    </row>
    <row r="209" ht="70.5" customHeight="1">
      <c r="A209" s="10">
        <v>2022.0</v>
      </c>
      <c r="B209" s="12" t="s">
        <v>10</v>
      </c>
      <c r="C209" s="11" t="s">
        <v>31</v>
      </c>
      <c r="D209" s="11" t="s">
        <v>555</v>
      </c>
      <c r="E209" s="11" t="s">
        <v>553</v>
      </c>
      <c r="F209" s="11" t="s">
        <v>554</v>
      </c>
      <c r="G209" s="12">
        <v>0.0</v>
      </c>
      <c r="H209" s="12">
        <f>1870+2050+2200</f>
        <v>6120</v>
      </c>
      <c r="I209" s="12">
        <f>0+299+714</f>
        <v>1013</v>
      </c>
      <c r="J209" s="11" t="s">
        <v>549</v>
      </c>
    </row>
    <row r="210" ht="69.75" customHeight="1">
      <c r="A210" s="10">
        <v>2022.0</v>
      </c>
      <c r="B210" s="12" t="s">
        <v>10</v>
      </c>
      <c r="C210" s="11" t="s">
        <v>31</v>
      </c>
      <c r="D210" s="11" t="s">
        <v>556</v>
      </c>
      <c r="E210" s="11" t="s">
        <v>551</v>
      </c>
      <c r="F210" s="11" t="s">
        <v>552</v>
      </c>
      <c r="G210" s="12">
        <v>0.0</v>
      </c>
      <c r="H210" s="12">
        <f>58+58+58</f>
        <v>174</v>
      </c>
      <c r="I210" s="12">
        <f>38+38+38</f>
        <v>114</v>
      </c>
      <c r="J210" s="11" t="s">
        <v>549</v>
      </c>
    </row>
    <row r="211" ht="69.75" customHeight="1">
      <c r="A211" s="10">
        <v>2022.0</v>
      </c>
      <c r="B211" s="12" t="s">
        <v>10</v>
      </c>
      <c r="C211" s="11" t="s">
        <v>31</v>
      </c>
      <c r="D211" s="11" t="s">
        <v>556</v>
      </c>
      <c r="E211" s="11" t="s">
        <v>553</v>
      </c>
      <c r="F211" s="11" t="s">
        <v>554</v>
      </c>
      <c r="G211" s="12">
        <v>0.0</v>
      </c>
      <c r="H211" s="12">
        <f>1972+2204+2320</f>
        <v>6496</v>
      </c>
      <c r="I211" s="12">
        <f>375+743</f>
        <v>1118</v>
      </c>
      <c r="J211" s="11" t="s">
        <v>549</v>
      </c>
    </row>
    <row r="212" ht="69.75" customHeight="1">
      <c r="A212" s="10">
        <v>2022.0</v>
      </c>
      <c r="B212" s="12" t="s">
        <v>10</v>
      </c>
      <c r="C212" s="11" t="s">
        <v>31</v>
      </c>
      <c r="D212" s="11" t="s">
        <v>557</v>
      </c>
      <c r="E212" s="11" t="s">
        <v>551</v>
      </c>
      <c r="F212" s="11" t="s">
        <v>552</v>
      </c>
      <c r="G212" s="12">
        <v>0.0</v>
      </c>
      <c r="H212" s="12">
        <f>70+70+70</f>
        <v>210</v>
      </c>
      <c r="I212" s="12">
        <f>60+56+56</f>
        <v>172</v>
      </c>
      <c r="J212" s="11" t="s">
        <v>549</v>
      </c>
    </row>
    <row r="213" ht="69.75" customHeight="1">
      <c r="A213" s="10">
        <v>2022.0</v>
      </c>
      <c r="B213" s="12" t="s">
        <v>10</v>
      </c>
      <c r="C213" s="11" t="s">
        <v>31</v>
      </c>
      <c r="D213" s="11" t="s">
        <v>557</v>
      </c>
      <c r="E213" s="11" t="s">
        <v>553</v>
      </c>
      <c r="F213" s="11" t="s">
        <v>554</v>
      </c>
      <c r="G213" s="12">
        <v>0.0</v>
      </c>
      <c r="H213" s="12">
        <f>2380+2660+2800</f>
        <v>7840</v>
      </c>
      <c r="I213" s="12">
        <f>0+378+890</f>
        <v>1268</v>
      </c>
      <c r="J213" s="11" t="s">
        <v>549</v>
      </c>
    </row>
    <row r="214" ht="70.5" customHeight="1">
      <c r="A214" s="10">
        <v>2022.0</v>
      </c>
      <c r="B214" s="12" t="s">
        <v>10</v>
      </c>
      <c r="C214" s="11" t="s">
        <v>31</v>
      </c>
      <c r="D214" s="11" t="s">
        <v>558</v>
      </c>
      <c r="E214" s="11" t="s">
        <v>551</v>
      </c>
      <c r="F214" s="11" t="s">
        <v>552</v>
      </c>
      <c r="G214" s="12">
        <v>0.0</v>
      </c>
      <c r="H214" s="12">
        <f>108+108+108</f>
        <v>324</v>
      </c>
      <c r="I214" s="12">
        <f>89+88+88</f>
        <v>265</v>
      </c>
      <c r="J214" s="11" t="s">
        <v>549</v>
      </c>
    </row>
    <row r="215" ht="70.5" customHeight="1">
      <c r="A215" s="10">
        <v>2022.0</v>
      </c>
      <c r="B215" s="12" t="s">
        <v>10</v>
      </c>
      <c r="C215" s="11" t="s">
        <v>31</v>
      </c>
      <c r="D215" s="11" t="s">
        <v>558</v>
      </c>
      <c r="E215" s="11" t="s">
        <v>553</v>
      </c>
      <c r="F215" s="11" t="s">
        <v>554</v>
      </c>
      <c r="G215" s="12">
        <v>0.0</v>
      </c>
      <c r="H215" s="12">
        <f>3672+4104+4320</f>
        <v>12096</v>
      </c>
      <c r="I215" s="12">
        <f>0+404+1589</f>
        <v>1993</v>
      </c>
      <c r="J215" s="11" t="s">
        <v>549</v>
      </c>
    </row>
    <row r="216" ht="71.25" customHeight="1">
      <c r="A216" s="10">
        <v>2022.0</v>
      </c>
      <c r="B216" s="12" t="s">
        <v>10</v>
      </c>
      <c r="C216" s="11" t="s">
        <v>31</v>
      </c>
      <c r="D216" s="11" t="s">
        <v>559</v>
      </c>
      <c r="E216" s="11" t="s">
        <v>551</v>
      </c>
      <c r="F216" s="11" t="s">
        <v>552</v>
      </c>
      <c r="G216" s="12">
        <v>0.0</v>
      </c>
      <c r="H216" s="12">
        <f>46+46+46</f>
        <v>138</v>
      </c>
      <c r="I216" s="12">
        <f>36+35+35</f>
        <v>106</v>
      </c>
      <c r="J216" s="11" t="s">
        <v>549</v>
      </c>
    </row>
    <row r="217" ht="71.25" customHeight="1">
      <c r="A217" s="10">
        <v>2022.0</v>
      </c>
      <c r="B217" s="12" t="s">
        <v>10</v>
      </c>
      <c r="C217" s="11" t="s">
        <v>31</v>
      </c>
      <c r="D217" s="11" t="s">
        <v>559</v>
      </c>
      <c r="E217" s="11" t="s">
        <v>553</v>
      </c>
      <c r="F217" s="11" t="s">
        <v>554</v>
      </c>
      <c r="G217" s="12">
        <v>0.0</v>
      </c>
      <c r="H217" s="12">
        <f>1564+1748+1840</f>
        <v>5152</v>
      </c>
      <c r="I217" s="12">
        <f>0+158+582</f>
        <v>740</v>
      </c>
      <c r="J217" s="11" t="s">
        <v>549</v>
      </c>
    </row>
    <row r="218" ht="69.75" customHeight="1">
      <c r="A218" s="10">
        <v>2022.0</v>
      </c>
      <c r="B218" s="12" t="s">
        <v>10</v>
      </c>
      <c r="C218" s="11" t="s">
        <v>31</v>
      </c>
      <c r="D218" s="11" t="s">
        <v>560</v>
      </c>
      <c r="E218" s="11" t="s">
        <v>551</v>
      </c>
      <c r="F218" s="11" t="s">
        <v>552</v>
      </c>
      <c r="G218" s="12">
        <v>0.0</v>
      </c>
      <c r="H218" s="12">
        <f>56+56+56</f>
        <v>168</v>
      </c>
      <c r="I218" s="12">
        <f>52+51+51</f>
        <v>154</v>
      </c>
      <c r="J218" s="11" t="s">
        <v>549</v>
      </c>
    </row>
    <row r="219" ht="69.75" customHeight="1">
      <c r="A219" s="10">
        <v>2022.0</v>
      </c>
      <c r="B219" s="12" t="s">
        <v>10</v>
      </c>
      <c r="C219" s="11" t="s">
        <v>31</v>
      </c>
      <c r="D219" s="11" t="s">
        <v>560</v>
      </c>
      <c r="E219" s="11" t="s">
        <v>553</v>
      </c>
      <c r="F219" s="11" t="s">
        <v>554</v>
      </c>
      <c r="G219" s="12">
        <v>0.0</v>
      </c>
      <c r="H219" s="12">
        <f>1938+2166+2280</f>
        <v>6384</v>
      </c>
      <c r="I219" s="12">
        <f>0+437+907</f>
        <v>1344</v>
      </c>
      <c r="J219" s="11" t="s">
        <v>549</v>
      </c>
    </row>
    <row r="220" ht="69.75" customHeight="1">
      <c r="A220" s="10">
        <v>2022.0</v>
      </c>
      <c r="B220" s="12" t="s">
        <v>10</v>
      </c>
      <c r="C220" s="11" t="s">
        <v>31</v>
      </c>
      <c r="D220" s="11" t="s">
        <v>561</v>
      </c>
      <c r="E220" s="11" t="s">
        <v>562</v>
      </c>
      <c r="F220" s="11" t="s">
        <v>563</v>
      </c>
      <c r="G220" s="12">
        <v>438.0</v>
      </c>
      <c r="H220" s="12">
        <f>22+24+55</f>
        <v>101</v>
      </c>
      <c r="I220" s="12">
        <f>36+52+134</f>
        <v>222</v>
      </c>
      <c r="J220" s="11" t="s">
        <v>549</v>
      </c>
    </row>
    <row r="221" ht="69.75" customHeight="1">
      <c r="A221" s="10">
        <v>2022.0</v>
      </c>
      <c r="B221" s="12" t="s">
        <v>10</v>
      </c>
      <c r="C221" s="11" t="s">
        <v>31</v>
      </c>
      <c r="D221" s="11" t="s">
        <v>561</v>
      </c>
      <c r="E221" s="11" t="s">
        <v>564</v>
      </c>
      <c r="F221" s="11" t="s">
        <v>565</v>
      </c>
      <c r="G221" s="12">
        <v>6.0</v>
      </c>
      <c r="H221" s="12">
        <f t="shared" ref="H221:I221" si="59">0+0+0</f>
        <v>0</v>
      </c>
      <c r="I221" s="12">
        <f t="shared" si="59"/>
        <v>0</v>
      </c>
      <c r="J221" s="11" t="s">
        <v>549</v>
      </c>
    </row>
    <row r="222" ht="15.75" customHeight="1">
      <c r="A222" s="10">
        <v>2022.0</v>
      </c>
      <c r="B222" s="12" t="s">
        <v>10</v>
      </c>
      <c r="C222" s="11" t="s">
        <v>31</v>
      </c>
      <c r="D222" s="11" t="s">
        <v>566</v>
      </c>
      <c r="E222" s="13" t="s">
        <v>567</v>
      </c>
      <c r="F222" s="13" t="s">
        <v>568</v>
      </c>
      <c r="G222" s="12">
        <v>748000.0</v>
      </c>
      <c r="H222" s="12">
        <f t="shared" ref="H222:I222" si="60">72000+72000+88000</f>
        <v>232000</v>
      </c>
      <c r="I222" s="12">
        <f t="shared" si="60"/>
        <v>232000</v>
      </c>
      <c r="J222" s="11" t="s">
        <v>549</v>
      </c>
    </row>
    <row r="223" ht="15.75" customHeight="1">
      <c r="A223" s="10">
        <v>2022.0</v>
      </c>
      <c r="B223" s="12" t="s">
        <v>10</v>
      </c>
      <c r="C223" s="11" t="s">
        <v>31</v>
      </c>
      <c r="D223" s="11" t="s">
        <v>566</v>
      </c>
      <c r="E223" s="11" t="s">
        <v>569</v>
      </c>
      <c r="F223" s="11" t="s">
        <v>570</v>
      </c>
      <c r="G223" s="12">
        <v>112200.0</v>
      </c>
      <c r="H223" s="12">
        <f>9600+10800+12600</f>
        <v>33000</v>
      </c>
      <c r="I223" s="12">
        <f>9600+9000+16800</f>
        <v>35400</v>
      </c>
      <c r="J223" s="11" t="s">
        <v>549</v>
      </c>
    </row>
    <row r="224" ht="15.75" customHeight="1">
      <c r="A224" s="10">
        <v>2022.0</v>
      </c>
      <c r="B224" s="12" t="s">
        <v>10</v>
      </c>
      <c r="C224" s="11" t="s">
        <v>31</v>
      </c>
      <c r="D224" s="11" t="s">
        <v>566</v>
      </c>
      <c r="E224" s="24" t="s">
        <v>571</v>
      </c>
      <c r="F224" s="11" t="s">
        <v>572</v>
      </c>
      <c r="G224" s="12">
        <v>108081.0</v>
      </c>
      <c r="H224" s="12">
        <f>7340+9832+8745</f>
        <v>25917</v>
      </c>
      <c r="I224" s="12">
        <f t="shared" ref="I224:I227" si="61">0+0+0</f>
        <v>0</v>
      </c>
      <c r="J224" s="11" t="s">
        <v>549</v>
      </c>
    </row>
    <row r="225" ht="15.75" customHeight="1">
      <c r="A225" s="10">
        <v>2022.0</v>
      </c>
      <c r="B225" s="12" t="s">
        <v>10</v>
      </c>
      <c r="C225" s="11" t="s">
        <v>31</v>
      </c>
      <c r="D225" s="11" t="s">
        <v>566</v>
      </c>
      <c r="E225" s="25" t="s">
        <v>573</v>
      </c>
      <c r="F225" s="25" t="s">
        <v>574</v>
      </c>
      <c r="G225" s="10">
        <v>456.0</v>
      </c>
      <c r="H225" s="10">
        <f>57+57+57</f>
        <v>171</v>
      </c>
      <c r="I225" s="10">
        <f t="shared" si="61"/>
        <v>0</v>
      </c>
      <c r="J225" s="11" t="s">
        <v>549</v>
      </c>
    </row>
    <row r="226" ht="15.75" customHeight="1">
      <c r="A226" s="10">
        <v>2022.0</v>
      </c>
      <c r="B226" s="12" t="s">
        <v>10</v>
      </c>
      <c r="C226" s="11" t="s">
        <v>31</v>
      </c>
      <c r="D226" s="11" t="s">
        <v>575</v>
      </c>
      <c r="E226" s="25" t="s">
        <v>576</v>
      </c>
      <c r="F226" s="26" t="s">
        <v>577</v>
      </c>
      <c r="G226" s="10">
        <v>9206.0</v>
      </c>
      <c r="H226" s="10">
        <f>2300+1500+1300</f>
        <v>5100</v>
      </c>
      <c r="I226" s="10">
        <f t="shared" si="61"/>
        <v>0</v>
      </c>
      <c r="J226" s="11" t="s">
        <v>549</v>
      </c>
    </row>
    <row r="227" ht="15.75" customHeight="1">
      <c r="A227" s="10">
        <v>2022.0</v>
      </c>
      <c r="B227" s="12" t="s">
        <v>10</v>
      </c>
      <c r="C227" s="11" t="s">
        <v>31</v>
      </c>
      <c r="D227" s="11" t="s">
        <v>578</v>
      </c>
      <c r="E227" s="25" t="s">
        <v>579</v>
      </c>
      <c r="F227" s="11" t="s">
        <v>580</v>
      </c>
      <c r="G227" s="10">
        <v>29774.0</v>
      </c>
      <c r="H227" s="10">
        <f>2479+2479+2479</f>
        <v>7437</v>
      </c>
      <c r="I227" s="10">
        <f t="shared" si="61"/>
        <v>0</v>
      </c>
      <c r="J227" s="11" t="s">
        <v>549</v>
      </c>
    </row>
    <row r="228" ht="15.75" customHeight="1">
      <c r="A228" s="10">
        <v>2022.0</v>
      </c>
      <c r="B228" s="12" t="s">
        <v>10</v>
      </c>
      <c r="C228" s="11" t="s">
        <v>31</v>
      </c>
      <c r="D228" s="13" t="s">
        <v>581</v>
      </c>
      <c r="E228" s="11" t="s">
        <v>582</v>
      </c>
      <c r="F228" s="11" t="s">
        <v>583</v>
      </c>
      <c r="G228" s="10">
        <v>7360.0</v>
      </c>
      <c r="H228" s="10">
        <f>500+630+600</f>
        <v>1730</v>
      </c>
      <c r="I228" s="10">
        <f>314+517+704</f>
        <v>1535</v>
      </c>
      <c r="J228" s="11" t="s">
        <v>584</v>
      </c>
    </row>
    <row r="229" ht="63.0" customHeight="1">
      <c r="A229" s="10">
        <v>2022.0</v>
      </c>
      <c r="B229" s="12" t="s">
        <v>10</v>
      </c>
      <c r="C229" s="11" t="s">
        <v>31</v>
      </c>
      <c r="D229" s="13" t="s">
        <v>581</v>
      </c>
      <c r="E229" s="11" t="s">
        <v>585</v>
      </c>
      <c r="F229" s="11" t="s">
        <v>586</v>
      </c>
      <c r="G229" s="10">
        <v>865.0</v>
      </c>
      <c r="H229" s="10">
        <f>25+165+125</f>
        <v>315</v>
      </c>
      <c r="I229" s="10">
        <f>30+104+48</f>
        <v>182</v>
      </c>
      <c r="J229" s="11" t="s">
        <v>584</v>
      </c>
    </row>
    <row r="230" ht="15.75" customHeight="1">
      <c r="A230" s="10">
        <v>2022.0</v>
      </c>
      <c r="B230" s="12" t="s">
        <v>10</v>
      </c>
      <c r="C230" s="11" t="s">
        <v>31</v>
      </c>
      <c r="D230" s="11" t="s">
        <v>587</v>
      </c>
      <c r="E230" s="11" t="s">
        <v>588</v>
      </c>
      <c r="F230" s="11" t="s">
        <v>587</v>
      </c>
      <c r="G230" s="10">
        <v>3220.0</v>
      </c>
      <c r="H230" s="10">
        <f>100+300+300</f>
        <v>700</v>
      </c>
      <c r="I230" s="10">
        <f>0+0+0</f>
        <v>0</v>
      </c>
      <c r="J230" s="11" t="s">
        <v>584</v>
      </c>
    </row>
    <row r="231" ht="15.75" customHeight="1">
      <c r="A231" s="10">
        <v>2022.0</v>
      </c>
      <c r="B231" s="12" t="s">
        <v>10</v>
      </c>
      <c r="C231" s="11" t="s">
        <v>31</v>
      </c>
      <c r="D231" s="11" t="s">
        <v>589</v>
      </c>
      <c r="E231" s="11" t="s">
        <v>590</v>
      </c>
      <c r="F231" s="11" t="s">
        <v>591</v>
      </c>
      <c r="G231" s="10">
        <v>4972.0</v>
      </c>
      <c r="H231" s="10">
        <f>300+400+400</f>
        <v>1100</v>
      </c>
      <c r="I231" s="10">
        <f>285+501+630</f>
        <v>1416</v>
      </c>
      <c r="J231" s="17" t="s">
        <v>589</v>
      </c>
    </row>
    <row r="232" ht="15.75" customHeight="1">
      <c r="A232" s="10">
        <v>2022.0</v>
      </c>
      <c r="B232" s="12" t="s">
        <v>10</v>
      </c>
      <c r="C232" s="11" t="s">
        <v>31</v>
      </c>
      <c r="D232" s="11" t="s">
        <v>589</v>
      </c>
      <c r="E232" s="11" t="s">
        <v>592</v>
      </c>
      <c r="F232" s="11" t="s">
        <v>593</v>
      </c>
      <c r="G232" s="10">
        <v>1090.0</v>
      </c>
      <c r="H232" s="10">
        <f>50+100+100</f>
        <v>250</v>
      </c>
      <c r="I232" s="10">
        <f>63+80+113</f>
        <v>256</v>
      </c>
      <c r="J232" s="17" t="s">
        <v>589</v>
      </c>
    </row>
    <row r="233" ht="53.25" customHeight="1">
      <c r="A233" s="10">
        <v>2022.0</v>
      </c>
      <c r="B233" s="12" t="s">
        <v>10</v>
      </c>
      <c r="C233" s="11" t="s">
        <v>31</v>
      </c>
      <c r="D233" s="11" t="s">
        <v>589</v>
      </c>
      <c r="E233" s="11" t="s">
        <v>585</v>
      </c>
      <c r="F233" s="11" t="s">
        <v>586</v>
      </c>
      <c r="G233" s="10">
        <v>0.0</v>
      </c>
      <c r="H233" s="10">
        <f t="shared" ref="H233:I233" si="62">0+0+0</f>
        <v>0</v>
      </c>
      <c r="I233" s="10">
        <f t="shared" si="62"/>
        <v>0</v>
      </c>
      <c r="J233" s="17" t="s">
        <v>589</v>
      </c>
    </row>
    <row r="234" ht="15.75" customHeight="1">
      <c r="A234" s="10">
        <v>2022.0</v>
      </c>
      <c r="B234" s="12" t="s">
        <v>10</v>
      </c>
      <c r="C234" s="11" t="s">
        <v>31</v>
      </c>
      <c r="D234" s="11" t="s">
        <v>594</v>
      </c>
      <c r="E234" s="13" t="s">
        <v>595</v>
      </c>
      <c r="F234" s="11" t="s">
        <v>596</v>
      </c>
      <c r="G234" s="10">
        <v>16.0</v>
      </c>
      <c r="H234" s="10">
        <f>5+5+7</f>
        <v>17</v>
      </c>
      <c r="I234" s="10">
        <f>11+6+1</f>
        <v>18</v>
      </c>
      <c r="J234" s="17" t="s">
        <v>597</v>
      </c>
    </row>
    <row r="235" ht="15.75" customHeight="1">
      <c r="A235" s="10">
        <v>2022.0</v>
      </c>
      <c r="B235" s="12" t="s">
        <v>10</v>
      </c>
      <c r="C235" s="11" t="s">
        <v>31</v>
      </c>
      <c r="D235" s="11" t="s">
        <v>594</v>
      </c>
      <c r="E235" s="11" t="s">
        <v>598</v>
      </c>
      <c r="F235" s="11" t="s">
        <v>599</v>
      </c>
      <c r="G235" s="10">
        <v>981.0</v>
      </c>
      <c r="H235" s="10">
        <f>70+70+70</f>
        <v>210</v>
      </c>
      <c r="I235" s="10">
        <f>92+73+74</f>
        <v>239</v>
      </c>
      <c r="J235" s="17" t="s">
        <v>597</v>
      </c>
    </row>
    <row r="236" ht="15.75" customHeight="1">
      <c r="A236" s="10">
        <v>2022.0</v>
      </c>
      <c r="B236" s="12" t="s">
        <v>10</v>
      </c>
      <c r="C236" s="11" t="s">
        <v>31</v>
      </c>
      <c r="D236" s="11" t="s">
        <v>594</v>
      </c>
      <c r="E236" s="11" t="s">
        <v>600</v>
      </c>
      <c r="F236" s="11" t="s">
        <v>601</v>
      </c>
      <c r="G236" s="10">
        <v>0.0</v>
      </c>
      <c r="H236" s="10">
        <f>1+1+1</f>
        <v>3</v>
      </c>
      <c r="I236" s="10">
        <f>0+0+0</f>
        <v>0</v>
      </c>
      <c r="J236" s="17" t="s">
        <v>597</v>
      </c>
    </row>
    <row r="237" ht="15.75" customHeight="1">
      <c r="A237" s="10">
        <v>2022.0</v>
      </c>
      <c r="B237" s="12" t="s">
        <v>10</v>
      </c>
      <c r="C237" s="11" t="s">
        <v>31</v>
      </c>
      <c r="D237" s="11" t="s">
        <v>602</v>
      </c>
      <c r="E237" s="11" t="s">
        <v>603</v>
      </c>
      <c r="F237" s="11" t="s">
        <v>604</v>
      </c>
      <c r="G237" s="10">
        <v>57.0</v>
      </c>
      <c r="H237" s="10">
        <f>2+4+4</f>
        <v>10</v>
      </c>
      <c r="I237" s="10">
        <f t="shared" ref="I237:I238" si="63">3+4+5</f>
        <v>12</v>
      </c>
      <c r="J237" s="17" t="s">
        <v>605</v>
      </c>
    </row>
    <row r="238" ht="67.5" customHeight="1">
      <c r="A238" s="10">
        <v>2022.0</v>
      </c>
      <c r="B238" s="12" t="s">
        <v>10</v>
      </c>
      <c r="C238" s="11" t="s">
        <v>31</v>
      </c>
      <c r="D238" s="11" t="s">
        <v>602</v>
      </c>
      <c r="E238" s="13" t="s">
        <v>606</v>
      </c>
      <c r="F238" s="11" t="s">
        <v>607</v>
      </c>
      <c r="G238" s="10">
        <v>5.0</v>
      </c>
      <c r="H238" s="10">
        <f>3+3+3</f>
        <v>9</v>
      </c>
      <c r="I238" s="10">
        <f t="shared" si="63"/>
        <v>12</v>
      </c>
      <c r="J238" s="17" t="s">
        <v>605</v>
      </c>
    </row>
    <row r="239" ht="67.5" customHeight="1">
      <c r="A239" s="10">
        <v>2022.0</v>
      </c>
      <c r="B239" s="12" t="s">
        <v>10</v>
      </c>
      <c r="C239" s="11" t="s">
        <v>31</v>
      </c>
      <c r="D239" s="11" t="s">
        <v>602</v>
      </c>
      <c r="E239" s="11" t="s">
        <v>608</v>
      </c>
      <c r="F239" s="11" t="s">
        <v>609</v>
      </c>
      <c r="G239" s="10">
        <v>65.0</v>
      </c>
      <c r="H239" s="10">
        <f t="shared" ref="H239:I239" si="64">0+0+0</f>
        <v>0</v>
      </c>
      <c r="I239" s="10">
        <f t="shared" si="64"/>
        <v>0</v>
      </c>
      <c r="J239" s="17" t="s">
        <v>605</v>
      </c>
    </row>
    <row r="240" ht="15.75" customHeight="1">
      <c r="A240" s="10">
        <v>2022.0</v>
      </c>
      <c r="B240" s="12" t="s">
        <v>10</v>
      </c>
      <c r="C240" s="11" t="s">
        <v>31</v>
      </c>
      <c r="D240" s="11" t="s">
        <v>610</v>
      </c>
      <c r="E240" s="11" t="s">
        <v>611</v>
      </c>
      <c r="F240" s="11" t="s">
        <v>612</v>
      </c>
      <c r="G240" s="10">
        <v>1534.0</v>
      </c>
      <c r="H240" s="10">
        <f>70+160+170</f>
        <v>400</v>
      </c>
      <c r="I240" s="10">
        <f>60+123+212</f>
        <v>395</v>
      </c>
      <c r="J240" s="17" t="s">
        <v>605</v>
      </c>
    </row>
    <row r="241" ht="15.75" customHeight="1">
      <c r="A241" s="10">
        <v>2022.0</v>
      </c>
      <c r="B241" s="12" t="s">
        <v>10</v>
      </c>
      <c r="C241" s="11" t="s">
        <v>31</v>
      </c>
      <c r="D241" s="11" t="s">
        <v>610</v>
      </c>
      <c r="E241" s="11" t="s">
        <v>613</v>
      </c>
      <c r="F241" s="11" t="s">
        <v>614</v>
      </c>
      <c r="G241" s="10">
        <v>183.0</v>
      </c>
      <c r="H241" s="10">
        <f>5+10+15</f>
        <v>30</v>
      </c>
      <c r="I241" s="10">
        <f>13+19+57</f>
        <v>89</v>
      </c>
      <c r="J241" s="17" t="s">
        <v>605</v>
      </c>
    </row>
    <row r="242" ht="67.5" customHeight="1">
      <c r="A242" s="10">
        <v>2022.0</v>
      </c>
      <c r="B242" s="12" t="s">
        <v>10</v>
      </c>
      <c r="C242" s="11" t="s">
        <v>31</v>
      </c>
      <c r="D242" s="11" t="s">
        <v>615</v>
      </c>
      <c r="E242" s="11" t="s">
        <v>616</v>
      </c>
      <c r="F242" s="11" t="s">
        <v>617</v>
      </c>
      <c r="G242" s="10">
        <v>33.0</v>
      </c>
      <c r="H242" s="10">
        <f>3+5+5</f>
        <v>13</v>
      </c>
      <c r="I242" s="10">
        <f>10+7+23</f>
        <v>40</v>
      </c>
      <c r="J242" s="17" t="s">
        <v>605</v>
      </c>
    </row>
    <row r="243" ht="15.75" customHeight="1">
      <c r="A243" s="10">
        <v>2022.0</v>
      </c>
      <c r="B243" s="12" t="s">
        <v>10</v>
      </c>
      <c r="C243" s="11" t="s">
        <v>31</v>
      </c>
      <c r="D243" s="11" t="s">
        <v>618</v>
      </c>
      <c r="E243" s="11" t="s">
        <v>619</v>
      </c>
      <c r="F243" s="11" t="s">
        <v>620</v>
      </c>
      <c r="G243" s="10">
        <v>317.0</v>
      </c>
      <c r="H243" s="10">
        <f>15+13+15</f>
        <v>43</v>
      </c>
      <c r="I243" s="10">
        <f>15+17+3</f>
        <v>35</v>
      </c>
      <c r="J243" s="17" t="s">
        <v>605</v>
      </c>
    </row>
    <row r="244" ht="15.75" customHeight="1">
      <c r="A244" s="10">
        <v>2022.0</v>
      </c>
      <c r="B244" s="12" t="s">
        <v>10</v>
      </c>
      <c r="C244" s="11" t="s">
        <v>31</v>
      </c>
      <c r="D244" s="11" t="s">
        <v>618</v>
      </c>
      <c r="E244" s="11" t="s">
        <v>621</v>
      </c>
      <c r="F244" s="13" t="s">
        <v>622</v>
      </c>
      <c r="G244" s="10">
        <v>4.0</v>
      </c>
      <c r="H244" s="10">
        <f>1+1+1</f>
        <v>3</v>
      </c>
      <c r="I244" s="10">
        <f>2+2+1</f>
        <v>5</v>
      </c>
      <c r="J244" s="17" t="s">
        <v>605</v>
      </c>
    </row>
    <row r="245" ht="15.75" customHeight="1">
      <c r="A245" s="10">
        <v>2022.0</v>
      </c>
      <c r="B245" s="12" t="s">
        <v>10</v>
      </c>
      <c r="C245" s="11" t="s">
        <v>31</v>
      </c>
      <c r="D245" s="11" t="s">
        <v>623</v>
      </c>
      <c r="E245" s="11" t="s">
        <v>624</v>
      </c>
      <c r="F245" s="11" t="s">
        <v>625</v>
      </c>
      <c r="G245" s="10">
        <v>1759.0</v>
      </c>
      <c r="H245" s="10">
        <f>40+80+150</f>
        <v>270</v>
      </c>
      <c r="I245" s="10">
        <f>21+122+134</f>
        <v>277</v>
      </c>
      <c r="J245" s="17" t="s">
        <v>626</v>
      </c>
    </row>
    <row r="246" ht="15.75" customHeight="1">
      <c r="A246" s="10">
        <v>2022.0</v>
      </c>
      <c r="B246" s="12" t="s">
        <v>10</v>
      </c>
      <c r="C246" s="11" t="s">
        <v>31</v>
      </c>
      <c r="D246" s="11" t="s">
        <v>623</v>
      </c>
      <c r="E246" s="11" t="s">
        <v>627</v>
      </c>
      <c r="F246" s="11" t="s">
        <v>628</v>
      </c>
      <c r="G246" s="10">
        <v>1000.0</v>
      </c>
      <c r="H246" s="10">
        <f t="shared" ref="H246:I246" si="65">0+0+0</f>
        <v>0</v>
      </c>
      <c r="I246" s="10">
        <f t="shared" si="65"/>
        <v>0</v>
      </c>
      <c r="J246" s="17" t="s">
        <v>626</v>
      </c>
    </row>
    <row r="247" ht="15.75" customHeight="1">
      <c r="A247" s="10">
        <v>2022.0</v>
      </c>
      <c r="B247" s="12" t="s">
        <v>10</v>
      </c>
      <c r="C247" s="11" t="s">
        <v>31</v>
      </c>
      <c r="D247" s="11" t="s">
        <v>623</v>
      </c>
      <c r="E247" s="11" t="s">
        <v>629</v>
      </c>
      <c r="F247" s="11" t="s">
        <v>630</v>
      </c>
      <c r="G247" s="10">
        <v>15.0</v>
      </c>
      <c r="H247" s="10">
        <f>0+0+1</f>
        <v>1</v>
      </c>
      <c r="I247" s="10">
        <f>0+2+2</f>
        <v>4</v>
      </c>
      <c r="J247" s="17" t="s">
        <v>626</v>
      </c>
    </row>
    <row r="248" ht="15.75" customHeight="1">
      <c r="A248" s="10">
        <v>2022.0</v>
      </c>
      <c r="B248" s="12" t="s">
        <v>10</v>
      </c>
      <c r="C248" s="11" t="s">
        <v>31</v>
      </c>
      <c r="D248" s="11" t="s">
        <v>623</v>
      </c>
      <c r="E248" s="11" t="s">
        <v>631</v>
      </c>
      <c r="F248" s="11" t="s">
        <v>632</v>
      </c>
      <c r="G248" s="10">
        <v>137.0</v>
      </c>
      <c r="H248" s="10">
        <f>1+2+3</f>
        <v>6</v>
      </c>
      <c r="I248" s="10">
        <f>2+2+11</f>
        <v>15</v>
      </c>
      <c r="J248" s="17" t="s">
        <v>626</v>
      </c>
    </row>
    <row r="249" ht="15.75" customHeight="1">
      <c r="A249" s="10">
        <v>2022.0</v>
      </c>
      <c r="B249" s="12" t="s">
        <v>10</v>
      </c>
      <c r="C249" s="11" t="s">
        <v>31</v>
      </c>
      <c r="D249" s="11" t="s">
        <v>633</v>
      </c>
      <c r="E249" s="11" t="s">
        <v>634</v>
      </c>
      <c r="F249" s="11" t="s">
        <v>186</v>
      </c>
      <c r="G249" s="10">
        <v>2508.0</v>
      </c>
      <c r="H249" s="10">
        <f t="shared" ref="H249:I249" si="66">0+0+0</f>
        <v>0</v>
      </c>
      <c r="I249" s="10">
        <f t="shared" si="66"/>
        <v>0</v>
      </c>
      <c r="J249" s="18" t="s">
        <v>635</v>
      </c>
    </row>
    <row r="250" ht="66.75" customHeight="1">
      <c r="A250" s="10">
        <v>2022.0</v>
      </c>
      <c r="B250" s="12" t="s">
        <v>10</v>
      </c>
      <c r="C250" s="11" t="s">
        <v>31</v>
      </c>
      <c r="D250" s="11" t="s">
        <v>633</v>
      </c>
      <c r="E250" s="11" t="s">
        <v>636</v>
      </c>
      <c r="F250" s="11" t="s">
        <v>637</v>
      </c>
      <c r="G250" s="10">
        <v>3.0</v>
      </c>
      <c r="H250" s="10">
        <f t="shared" ref="H250:I250" si="67">0+0+0</f>
        <v>0</v>
      </c>
      <c r="I250" s="10">
        <f t="shared" si="67"/>
        <v>0</v>
      </c>
      <c r="J250" s="18" t="s">
        <v>635</v>
      </c>
    </row>
    <row r="251" ht="15.75" customHeight="1">
      <c r="A251" s="10">
        <v>2022.0</v>
      </c>
      <c r="B251" s="12" t="s">
        <v>10</v>
      </c>
      <c r="C251" s="11" t="s">
        <v>31</v>
      </c>
      <c r="D251" s="13" t="s">
        <v>638</v>
      </c>
      <c r="E251" s="11" t="s">
        <v>639</v>
      </c>
      <c r="F251" s="11" t="s">
        <v>640</v>
      </c>
      <c r="G251" s="10">
        <v>5.0</v>
      </c>
      <c r="H251" s="10">
        <f>11+11+11</f>
        <v>33</v>
      </c>
      <c r="I251" s="10">
        <f t="shared" ref="I251:I254" si="68">0+0+0</f>
        <v>0</v>
      </c>
      <c r="J251" s="18" t="s">
        <v>635</v>
      </c>
    </row>
    <row r="252" ht="15.75" customHeight="1">
      <c r="A252" s="10">
        <v>2022.0</v>
      </c>
      <c r="B252" s="12" t="s">
        <v>10</v>
      </c>
      <c r="C252" s="11" t="s">
        <v>31</v>
      </c>
      <c r="D252" s="13" t="s">
        <v>638</v>
      </c>
      <c r="E252" s="11" t="s">
        <v>641</v>
      </c>
      <c r="F252" s="11" t="s">
        <v>642</v>
      </c>
      <c r="G252" s="10">
        <v>8.0</v>
      </c>
      <c r="H252" s="10">
        <f t="shared" ref="H252:H253" si="69">1+1+1</f>
        <v>3</v>
      </c>
      <c r="I252" s="10">
        <f t="shared" si="68"/>
        <v>0</v>
      </c>
      <c r="J252" s="18" t="s">
        <v>635</v>
      </c>
    </row>
    <row r="253" ht="15.75" customHeight="1">
      <c r="A253" s="10">
        <v>2022.0</v>
      </c>
      <c r="B253" s="12" t="s">
        <v>10</v>
      </c>
      <c r="C253" s="11" t="s">
        <v>31</v>
      </c>
      <c r="D253" s="13" t="s">
        <v>638</v>
      </c>
      <c r="E253" s="17" t="s">
        <v>643</v>
      </c>
      <c r="F253" s="11" t="s">
        <v>644</v>
      </c>
      <c r="G253" s="10">
        <v>4.0</v>
      </c>
      <c r="H253" s="10">
        <f t="shared" si="69"/>
        <v>3</v>
      </c>
      <c r="I253" s="10">
        <f t="shared" si="68"/>
        <v>0</v>
      </c>
      <c r="J253" s="18" t="s">
        <v>635</v>
      </c>
    </row>
    <row r="254" ht="15.75" customHeight="1">
      <c r="A254" s="10">
        <v>2022.0</v>
      </c>
      <c r="B254" s="12" t="s">
        <v>10</v>
      </c>
      <c r="C254" s="11" t="s">
        <v>31</v>
      </c>
      <c r="D254" s="13" t="s">
        <v>638</v>
      </c>
      <c r="E254" s="17" t="s">
        <v>645</v>
      </c>
      <c r="F254" s="11" t="s">
        <v>646</v>
      </c>
      <c r="G254" s="10">
        <v>324.0</v>
      </c>
      <c r="H254" s="10">
        <f>30+30+30</f>
        <v>90</v>
      </c>
      <c r="I254" s="10">
        <f t="shared" si="68"/>
        <v>0</v>
      </c>
      <c r="J254" s="18" t="s">
        <v>635</v>
      </c>
    </row>
    <row r="255" ht="15.75" customHeight="1">
      <c r="A255" s="10">
        <v>2022.0</v>
      </c>
      <c r="B255" s="12" t="s">
        <v>10</v>
      </c>
      <c r="C255" s="11" t="s">
        <v>240</v>
      </c>
      <c r="D255" s="11" t="s">
        <v>647</v>
      </c>
      <c r="E255" s="11" t="s">
        <v>648</v>
      </c>
      <c r="F255" s="11" t="s">
        <v>649</v>
      </c>
      <c r="G255" s="10">
        <v>0.0</v>
      </c>
      <c r="H255" s="27">
        <v>0.15</v>
      </c>
      <c r="I255" s="27">
        <v>0.0</v>
      </c>
      <c r="J255" s="11" t="s">
        <v>650</v>
      </c>
    </row>
    <row r="256" ht="15.75" customHeight="1">
      <c r="A256" s="10">
        <v>2022.0</v>
      </c>
      <c r="B256" s="12" t="s">
        <v>10</v>
      </c>
      <c r="C256" s="11" t="s">
        <v>240</v>
      </c>
      <c r="D256" s="11" t="s">
        <v>651</v>
      </c>
      <c r="E256" s="13" t="s">
        <v>652</v>
      </c>
      <c r="F256" s="11" t="s">
        <v>653</v>
      </c>
      <c r="G256" s="10">
        <v>0.0</v>
      </c>
      <c r="H256" s="27">
        <v>0.15</v>
      </c>
      <c r="I256" s="27">
        <v>0.15</v>
      </c>
      <c r="J256" s="11" t="s">
        <v>650</v>
      </c>
    </row>
    <row r="257" ht="15.75" customHeight="1">
      <c r="A257" s="10">
        <v>2022.0</v>
      </c>
      <c r="B257" s="12" t="s">
        <v>10</v>
      </c>
      <c r="C257" s="11" t="s">
        <v>31</v>
      </c>
      <c r="D257" s="11" t="s">
        <v>654</v>
      </c>
      <c r="E257" s="13" t="s">
        <v>655</v>
      </c>
      <c r="F257" s="13" t="s">
        <v>656</v>
      </c>
      <c r="G257" s="10">
        <v>72.0</v>
      </c>
      <c r="H257" s="10">
        <f>3+5+8</f>
        <v>16</v>
      </c>
      <c r="I257" s="10">
        <f>9+19+33</f>
        <v>61</v>
      </c>
      <c r="J257" s="11" t="s">
        <v>657</v>
      </c>
    </row>
    <row r="258" ht="15.75" customHeight="1">
      <c r="A258" s="10">
        <v>2022.0</v>
      </c>
      <c r="B258" s="12" t="s">
        <v>10</v>
      </c>
      <c r="C258" s="11" t="s">
        <v>31</v>
      </c>
      <c r="D258" s="11" t="s">
        <v>654</v>
      </c>
      <c r="E258" s="11" t="s">
        <v>658</v>
      </c>
      <c r="F258" s="11" t="s">
        <v>659</v>
      </c>
      <c r="G258" s="10">
        <v>780.0</v>
      </c>
      <c r="H258" s="10">
        <f>40+70+70</f>
        <v>180</v>
      </c>
      <c r="I258" s="10">
        <f>46+61+134</f>
        <v>241</v>
      </c>
      <c r="J258" s="11" t="s">
        <v>657</v>
      </c>
    </row>
    <row r="259" ht="15.75" customHeight="1">
      <c r="A259" s="10">
        <v>2022.0</v>
      </c>
      <c r="B259" s="12" t="s">
        <v>10</v>
      </c>
      <c r="C259" s="11" t="s">
        <v>31</v>
      </c>
      <c r="D259" s="11" t="s">
        <v>654</v>
      </c>
      <c r="E259" s="11" t="s">
        <v>660</v>
      </c>
      <c r="F259" s="13" t="s">
        <v>661</v>
      </c>
      <c r="G259" s="10">
        <v>5.0</v>
      </c>
      <c r="H259" s="10">
        <f>0+1+1</f>
        <v>2</v>
      </c>
      <c r="I259" s="10">
        <f>0+1+0</f>
        <v>1</v>
      </c>
      <c r="J259" s="11" t="s">
        <v>657</v>
      </c>
    </row>
    <row r="260" ht="15.75" customHeight="1">
      <c r="A260" s="10">
        <v>2022.0</v>
      </c>
      <c r="B260" s="12" t="s">
        <v>10</v>
      </c>
      <c r="C260" s="11" t="s">
        <v>31</v>
      </c>
      <c r="D260" s="11" t="s">
        <v>662</v>
      </c>
      <c r="E260" s="11" t="s">
        <v>663</v>
      </c>
      <c r="F260" s="11" t="s">
        <v>517</v>
      </c>
      <c r="G260" s="10">
        <v>518.0</v>
      </c>
      <c r="H260" s="10">
        <f t="shared" ref="H260:I260" si="70">25+50+52</f>
        <v>127</v>
      </c>
      <c r="I260" s="10">
        <f t="shared" si="70"/>
        <v>127</v>
      </c>
      <c r="J260" s="28" t="s">
        <v>657</v>
      </c>
    </row>
    <row r="261" ht="15.75" customHeight="1">
      <c r="A261" s="10">
        <v>2022.0</v>
      </c>
      <c r="B261" s="12" t="s">
        <v>10</v>
      </c>
      <c r="C261" s="11" t="s">
        <v>31</v>
      </c>
      <c r="D261" s="11" t="s">
        <v>662</v>
      </c>
      <c r="E261" s="11" t="s">
        <v>663</v>
      </c>
      <c r="F261" s="11" t="s">
        <v>517</v>
      </c>
      <c r="G261" s="10">
        <v>15.0</v>
      </c>
      <c r="H261" s="10">
        <f t="shared" ref="H261:I261" si="71">0+0+0</f>
        <v>0</v>
      </c>
      <c r="I261" s="10">
        <f t="shared" si="71"/>
        <v>0</v>
      </c>
      <c r="J261" s="28" t="s">
        <v>657</v>
      </c>
    </row>
    <row r="262" ht="15.75" customHeight="1">
      <c r="A262" s="10">
        <v>2022.0</v>
      </c>
      <c r="B262" s="10" t="s">
        <v>10</v>
      </c>
      <c r="C262" s="11" t="s">
        <v>31</v>
      </c>
      <c r="D262" s="11" t="s">
        <v>664</v>
      </c>
      <c r="E262" s="13" t="s">
        <v>665</v>
      </c>
      <c r="F262" s="13" t="s">
        <v>666</v>
      </c>
      <c r="G262" s="12">
        <v>36.0</v>
      </c>
      <c r="H262" s="12">
        <f>3+3+3</f>
        <v>9</v>
      </c>
      <c r="I262" s="10">
        <f>0+1+1</f>
        <v>2</v>
      </c>
      <c r="J262" s="11" t="s">
        <v>667</v>
      </c>
    </row>
    <row r="263" ht="15.75" customHeight="1">
      <c r="A263" s="10">
        <v>2022.0</v>
      </c>
      <c r="B263" s="10" t="s">
        <v>10</v>
      </c>
      <c r="C263" s="11" t="s">
        <v>31</v>
      </c>
      <c r="D263" s="11" t="s">
        <v>664</v>
      </c>
      <c r="E263" s="11" t="s">
        <v>668</v>
      </c>
      <c r="F263" s="11" t="s">
        <v>669</v>
      </c>
      <c r="G263" s="12">
        <v>600.0</v>
      </c>
      <c r="H263" s="12">
        <f>50+50+50</f>
        <v>150</v>
      </c>
      <c r="I263" s="10">
        <f>45+40+50</f>
        <v>135</v>
      </c>
      <c r="J263" s="11" t="s">
        <v>667</v>
      </c>
    </row>
    <row r="264" ht="15.75" customHeight="1">
      <c r="A264" s="10">
        <v>2022.0</v>
      </c>
      <c r="B264" s="10" t="s">
        <v>10</v>
      </c>
      <c r="C264" s="11" t="s">
        <v>31</v>
      </c>
      <c r="D264" s="11" t="s">
        <v>664</v>
      </c>
      <c r="E264" s="11" t="s">
        <v>670</v>
      </c>
      <c r="F264" s="11" t="s">
        <v>671</v>
      </c>
      <c r="G264" s="12">
        <v>10.0</v>
      </c>
      <c r="H264" s="12">
        <f>0+1+1</f>
        <v>2</v>
      </c>
      <c r="I264" s="10">
        <f>1+2+4</f>
        <v>7</v>
      </c>
      <c r="J264" s="11" t="s">
        <v>667</v>
      </c>
    </row>
    <row r="265" ht="15.75" customHeight="1">
      <c r="A265" s="10">
        <v>2022.0</v>
      </c>
      <c r="B265" s="10" t="s">
        <v>10</v>
      </c>
      <c r="C265" s="11" t="s">
        <v>31</v>
      </c>
      <c r="D265" s="11" t="s">
        <v>672</v>
      </c>
      <c r="E265" s="11" t="s">
        <v>673</v>
      </c>
      <c r="F265" s="11" t="s">
        <v>674</v>
      </c>
      <c r="G265" s="12">
        <v>400.0</v>
      </c>
      <c r="H265" s="12">
        <f>20+30+30</f>
        <v>80</v>
      </c>
      <c r="I265" s="10">
        <f>17+28+35</f>
        <v>80</v>
      </c>
      <c r="J265" s="11" t="s">
        <v>667</v>
      </c>
    </row>
    <row r="266" ht="15.75" customHeight="1">
      <c r="A266" s="10">
        <v>2022.0</v>
      </c>
      <c r="B266" s="10" t="s">
        <v>10</v>
      </c>
      <c r="C266" s="11" t="s">
        <v>31</v>
      </c>
      <c r="D266" s="11" t="s">
        <v>672</v>
      </c>
      <c r="E266" s="11" t="s">
        <v>670</v>
      </c>
      <c r="F266" s="11" t="s">
        <v>675</v>
      </c>
      <c r="G266" s="12">
        <v>10.0</v>
      </c>
      <c r="H266" s="12">
        <f>0+1+1</f>
        <v>2</v>
      </c>
      <c r="I266" s="10">
        <f>1+2+4</f>
        <v>7</v>
      </c>
      <c r="J266" s="11" t="s">
        <v>667</v>
      </c>
    </row>
    <row r="267" ht="15.75" customHeight="1">
      <c r="A267" s="10">
        <v>2022.0</v>
      </c>
      <c r="B267" s="10" t="s">
        <v>10</v>
      </c>
      <c r="C267" s="11" t="s">
        <v>31</v>
      </c>
      <c r="D267" s="11" t="s">
        <v>676</v>
      </c>
      <c r="E267" s="11" t="s">
        <v>677</v>
      </c>
      <c r="F267" s="11" t="s">
        <v>678</v>
      </c>
      <c r="G267" s="12">
        <v>1020.0</v>
      </c>
      <c r="H267" s="12">
        <f>60+90+90</f>
        <v>240</v>
      </c>
      <c r="I267" s="10">
        <f>0+40+60</f>
        <v>100</v>
      </c>
      <c r="J267" s="11" t="s">
        <v>667</v>
      </c>
    </row>
    <row r="268" ht="15.75" customHeight="1">
      <c r="A268" s="10">
        <v>2022.0</v>
      </c>
      <c r="B268" s="10" t="s">
        <v>10</v>
      </c>
      <c r="C268" s="11" t="s">
        <v>31</v>
      </c>
      <c r="D268" s="11" t="s">
        <v>676</v>
      </c>
      <c r="E268" s="11" t="s">
        <v>679</v>
      </c>
      <c r="F268" s="11" t="s">
        <v>680</v>
      </c>
      <c r="G268" s="12">
        <v>34.0</v>
      </c>
      <c r="H268" s="12">
        <f>2+3+3</f>
        <v>8</v>
      </c>
      <c r="I268" s="10">
        <f>0+1+2</f>
        <v>3</v>
      </c>
      <c r="J268" s="11" t="s">
        <v>667</v>
      </c>
    </row>
    <row r="269" ht="15.75" customHeight="1">
      <c r="A269" s="10">
        <v>2022.0</v>
      </c>
      <c r="B269" s="10" t="s">
        <v>10</v>
      </c>
      <c r="C269" s="11" t="s">
        <v>31</v>
      </c>
      <c r="D269" s="11" t="s">
        <v>676</v>
      </c>
      <c r="E269" s="11" t="s">
        <v>681</v>
      </c>
      <c r="F269" s="11" t="s">
        <v>682</v>
      </c>
      <c r="G269" s="12">
        <v>5.0</v>
      </c>
      <c r="H269" s="12">
        <f t="shared" ref="H269:I269" si="72">0+1+0</f>
        <v>1</v>
      </c>
      <c r="I269" s="10">
        <f t="shared" si="72"/>
        <v>1</v>
      </c>
      <c r="J269" s="11" t="s">
        <v>667</v>
      </c>
    </row>
    <row r="270" ht="15.75" customHeight="1">
      <c r="A270" s="10">
        <v>2022.0</v>
      </c>
      <c r="B270" s="10" t="s">
        <v>10</v>
      </c>
      <c r="C270" s="11" t="s">
        <v>56</v>
      </c>
      <c r="D270" s="11" t="s">
        <v>683</v>
      </c>
      <c r="E270" s="11" t="s">
        <v>684</v>
      </c>
      <c r="F270" s="11" t="s">
        <v>509</v>
      </c>
      <c r="G270" s="12">
        <v>0.0</v>
      </c>
      <c r="H270" s="22">
        <f>38+38+38</f>
        <v>114</v>
      </c>
      <c r="I270" s="10">
        <f>37+35+32</f>
        <v>104</v>
      </c>
      <c r="J270" s="11" t="s">
        <v>685</v>
      </c>
    </row>
    <row r="271" ht="53.25" customHeight="1">
      <c r="A271" s="10">
        <v>2022.0</v>
      </c>
      <c r="B271" s="10" t="s">
        <v>10</v>
      </c>
      <c r="C271" s="11" t="s">
        <v>56</v>
      </c>
      <c r="D271" s="11" t="s">
        <v>683</v>
      </c>
      <c r="E271" s="13" t="s">
        <v>686</v>
      </c>
      <c r="F271" s="11" t="s">
        <v>687</v>
      </c>
      <c r="G271" s="12">
        <v>0.0</v>
      </c>
      <c r="H271" s="22">
        <f>17+17+17</f>
        <v>51</v>
      </c>
      <c r="I271" s="10">
        <f>28+30+27</f>
        <v>85</v>
      </c>
      <c r="J271" s="11" t="s">
        <v>685</v>
      </c>
    </row>
    <row r="272" ht="15.75" customHeight="1">
      <c r="A272" s="10">
        <v>2022.0</v>
      </c>
      <c r="B272" s="10" t="s">
        <v>10</v>
      </c>
      <c r="C272" s="11" t="s">
        <v>31</v>
      </c>
      <c r="D272" s="11" t="s">
        <v>688</v>
      </c>
      <c r="E272" s="11" t="s">
        <v>689</v>
      </c>
      <c r="F272" s="11" t="s">
        <v>690</v>
      </c>
      <c r="G272" s="12">
        <v>0.0</v>
      </c>
      <c r="H272" s="12">
        <f t="shared" ref="H272:H273" si="73">0+0+0</f>
        <v>0</v>
      </c>
      <c r="I272" s="10">
        <v>0.0</v>
      </c>
      <c r="J272" s="11" t="s">
        <v>691</v>
      </c>
    </row>
    <row r="273" ht="15.75" customHeight="1">
      <c r="A273" s="10">
        <v>2022.0</v>
      </c>
      <c r="B273" s="10" t="s">
        <v>10</v>
      </c>
      <c r="C273" s="11" t="s">
        <v>31</v>
      </c>
      <c r="D273" s="11" t="s">
        <v>688</v>
      </c>
      <c r="E273" s="11" t="s">
        <v>692</v>
      </c>
      <c r="F273" s="11" t="s">
        <v>693</v>
      </c>
      <c r="G273" s="12">
        <v>0.0</v>
      </c>
      <c r="H273" s="12">
        <f t="shared" si="73"/>
        <v>0</v>
      </c>
      <c r="I273" s="10">
        <v>0.0</v>
      </c>
      <c r="J273" s="11" t="s">
        <v>691</v>
      </c>
    </row>
    <row r="274" ht="15.75" customHeight="1">
      <c r="A274" s="10">
        <v>2022.0</v>
      </c>
      <c r="B274" s="10" t="s">
        <v>10</v>
      </c>
      <c r="C274" s="11" t="s">
        <v>31</v>
      </c>
      <c r="D274" s="11" t="s">
        <v>688</v>
      </c>
      <c r="E274" s="11" t="s">
        <v>694</v>
      </c>
      <c r="F274" s="11" t="s">
        <v>695</v>
      </c>
      <c r="G274" s="12">
        <v>0.0</v>
      </c>
      <c r="H274" s="12">
        <f>0+0+14</f>
        <v>14</v>
      </c>
      <c r="I274" s="10">
        <v>0.0</v>
      </c>
      <c r="J274" s="11" t="s">
        <v>691</v>
      </c>
    </row>
    <row r="275" ht="15.75" customHeight="1">
      <c r="A275" s="10">
        <v>2022.0</v>
      </c>
      <c r="B275" s="10" t="s">
        <v>10</v>
      </c>
      <c r="C275" s="11" t="s">
        <v>31</v>
      </c>
      <c r="D275" s="11" t="s">
        <v>696</v>
      </c>
      <c r="E275" s="11" t="s">
        <v>697</v>
      </c>
      <c r="F275" s="11" t="s">
        <v>101</v>
      </c>
      <c r="G275" s="12">
        <v>0.0</v>
      </c>
      <c r="H275" s="12">
        <f>5+5+5</f>
        <v>15</v>
      </c>
      <c r="I275" s="10">
        <f t="shared" ref="I275:I276" si="74">2+2+2</f>
        <v>6</v>
      </c>
      <c r="J275" s="11" t="s">
        <v>691</v>
      </c>
    </row>
    <row r="276" ht="15.75" customHeight="1">
      <c r="A276" s="10">
        <v>2022.0</v>
      </c>
      <c r="B276" s="10" t="s">
        <v>10</v>
      </c>
      <c r="C276" s="11" t="s">
        <v>31</v>
      </c>
      <c r="D276" s="11" t="s">
        <v>696</v>
      </c>
      <c r="E276" s="11" t="s">
        <v>698</v>
      </c>
      <c r="F276" s="11" t="s">
        <v>586</v>
      </c>
      <c r="G276" s="12">
        <v>0.0</v>
      </c>
      <c r="H276" s="12">
        <f>2+3+3</f>
        <v>8</v>
      </c>
      <c r="I276" s="10">
        <f t="shared" si="74"/>
        <v>6</v>
      </c>
      <c r="J276" s="11" t="s">
        <v>691</v>
      </c>
    </row>
    <row r="277" ht="15.75" customHeight="1">
      <c r="A277" s="10">
        <v>2022.0</v>
      </c>
      <c r="B277" s="10" t="s">
        <v>10</v>
      </c>
      <c r="C277" s="11" t="s">
        <v>31</v>
      </c>
      <c r="D277" s="11" t="s">
        <v>696</v>
      </c>
      <c r="E277" s="11" t="s">
        <v>699</v>
      </c>
      <c r="F277" s="11" t="s">
        <v>700</v>
      </c>
      <c r="G277" s="12">
        <v>0.0</v>
      </c>
      <c r="H277" s="12">
        <f>2+1+2</f>
        <v>5</v>
      </c>
      <c r="I277" s="10">
        <f>1+1+1</f>
        <v>3</v>
      </c>
      <c r="J277" s="11" t="s">
        <v>691</v>
      </c>
    </row>
    <row r="278" ht="15.75" customHeight="1">
      <c r="A278" s="10">
        <v>2022.0</v>
      </c>
      <c r="B278" s="10" t="s">
        <v>10</v>
      </c>
      <c r="C278" s="11" t="s">
        <v>31</v>
      </c>
      <c r="D278" s="11" t="s">
        <v>701</v>
      </c>
      <c r="E278" s="11" t="s">
        <v>702</v>
      </c>
      <c r="F278" s="11" t="s">
        <v>703</v>
      </c>
      <c r="G278" s="12">
        <v>0.0</v>
      </c>
      <c r="H278" s="12">
        <f>0+0+50</f>
        <v>50</v>
      </c>
      <c r="I278" s="10">
        <v>0.0</v>
      </c>
      <c r="J278" s="11" t="s">
        <v>691</v>
      </c>
    </row>
    <row r="279" ht="54.0" customHeight="1">
      <c r="A279" s="10">
        <v>2022.0</v>
      </c>
      <c r="B279" s="10" t="s">
        <v>10</v>
      </c>
      <c r="C279" s="11" t="s">
        <v>31</v>
      </c>
      <c r="D279" s="11" t="s">
        <v>704</v>
      </c>
      <c r="E279" s="11" t="s">
        <v>705</v>
      </c>
      <c r="F279" s="11" t="s">
        <v>706</v>
      </c>
      <c r="G279" s="12">
        <v>0.0</v>
      </c>
      <c r="H279" s="12">
        <f t="shared" ref="H279:I279" si="75">5+4+7</f>
        <v>16</v>
      </c>
      <c r="I279" s="10">
        <f t="shared" si="75"/>
        <v>16</v>
      </c>
      <c r="J279" s="11" t="s">
        <v>707</v>
      </c>
    </row>
    <row r="280" ht="54.0" customHeight="1">
      <c r="A280" s="10">
        <v>2022.0</v>
      </c>
      <c r="B280" s="10" t="s">
        <v>10</v>
      </c>
      <c r="C280" s="11" t="s">
        <v>31</v>
      </c>
      <c r="D280" s="11" t="s">
        <v>704</v>
      </c>
      <c r="E280" s="11" t="s">
        <v>708</v>
      </c>
      <c r="F280" s="11" t="s">
        <v>709</v>
      </c>
      <c r="G280" s="12">
        <v>0.0</v>
      </c>
      <c r="H280" s="12">
        <f t="shared" ref="H280:I280" si="76">21+21+21</f>
        <v>63</v>
      </c>
      <c r="I280" s="10">
        <f t="shared" si="76"/>
        <v>63</v>
      </c>
      <c r="J280" s="11" t="s">
        <v>707</v>
      </c>
    </row>
    <row r="281" ht="54.0" customHeight="1">
      <c r="A281" s="10">
        <v>2022.0</v>
      </c>
      <c r="B281" s="10" t="s">
        <v>10</v>
      </c>
      <c r="C281" s="11" t="s">
        <v>31</v>
      </c>
      <c r="D281" s="11" t="s">
        <v>704</v>
      </c>
      <c r="E281" s="11" t="s">
        <v>579</v>
      </c>
      <c r="F281" s="11" t="s">
        <v>710</v>
      </c>
      <c r="G281" s="12">
        <v>0.0</v>
      </c>
      <c r="H281" s="12">
        <f>223+219+243</f>
        <v>685</v>
      </c>
      <c r="I281" s="10">
        <f>30+50+44</f>
        <v>124</v>
      </c>
      <c r="J281" s="11" t="s">
        <v>707</v>
      </c>
    </row>
    <row r="282" ht="54.0" customHeight="1">
      <c r="A282" s="10">
        <v>2022.0</v>
      </c>
      <c r="B282" s="10" t="s">
        <v>10</v>
      </c>
      <c r="C282" s="11" t="s">
        <v>31</v>
      </c>
      <c r="D282" s="11" t="s">
        <v>704</v>
      </c>
      <c r="E282" s="11" t="s">
        <v>711</v>
      </c>
      <c r="F282" s="11" t="s">
        <v>712</v>
      </c>
      <c r="G282" s="12">
        <v>0.0</v>
      </c>
      <c r="H282" s="12">
        <f t="shared" ref="H282:I282" si="77">0+0+0</f>
        <v>0</v>
      </c>
      <c r="I282" s="10">
        <f t="shared" si="77"/>
        <v>0</v>
      </c>
      <c r="J282" s="11" t="s">
        <v>707</v>
      </c>
    </row>
    <row r="283" ht="54.0" customHeight="1">
      <c r="A283" s="10">
        <v>2022.0</v>
      </c>
      <c r="B283" s="10" t="s">
        <v>10</v>
      </c>
      <c r="C283" s="11" t="s">
        <v>31</v>
      </c>
      <c r="D283" s="11" t="s">
        <v>713</v>
      </c>
      <c r="E283" s="11" t="s">
        <v>714</v>
      </c>
      <c r="F283" s="11" t="s">
        <v>715</v>
      </c>
      <c r="G283" s="12">
        <v>0.0</v>
      </c>
      <c r="H283" s="12">
        <f>54+15+33</f>
        <v>102</v>
      </c>
      <c r="I283" s="10">
        <f>25+12+4</f>
        <v>41</v>
      </c>
      <c r="J283" s="11" t="s">
        <v>707</v>
      </c>
    </row>
    <row r="284" ht="54.0" customHeight="1">
      <c r="A284" s="10">
        <v>2022.0</v>
      </c>
      <c r="B284" s="10" t="s">
        <v>10</v>
      </c>
      <c r="C284" s="11" t="s">
        <v>31</v>
      </c>
      <c r="D284" s="11" t="s">
        <v>713</v>
      </c>
      <c r="E284" s="11" t="s">
        <v>716</v>
      </c>
      <c r="F284" s="13" t="s">
        <v>717</v>
      </c>
      <c r="G284" s="12">
        <v>0.0</v>
      </c>
      <c r="H284" s="12">
        <f>28+13+4</f>
        <v>45</v>
      </c>
      <c r="I284" s="10">
        <f>65+65+65</f>
        <v>195</v>
      </c>
      <c r="J284" s="11" t="s">
        <v>707</v>
      </c>
    </row>
    <row r="285" ht="54.0" customHeight="1">
      <c r="A285" s="10">
        <v>2022.0</v>
      </c>
      <c r="B285" s="10" t="s">
        <v>10</v>
      </c>
      <c r="C285" s="11" t="s">
        <v>31</v>
      </c>
      <c r="D285" s="11" t="s">
        <v>713</v>
      </c>
      <c r="E285" s="11" t="s">
        <v>718</v>
      </c>
      <c r="F285" s="11" t="s">
        <v>710</v>
      </c>
      <c r="G285" s="12">
        <v>0.0</v>
      </c>
      <c r="H285" s="12">
        <f>25+43+27</f>
        <v>95</v>
      </c>
      <c r="I285" s="10">
        <f>25+28+27</f>
        <v>80</v>
      </c>
      <c r="J285" s="11" t="s">
        <v>707</v>
      </c>
    </row>
    <row r="286" ht="54.0" customHeight="1">
      <c r="A286" s="10">
        <v>2022.0</v>
      </c>
      <c r="B286" s="10" t="s">
        <v>10</v>
      </c>
      <c r="C286" s="11" t="s">
        <v>31</v>
      </c>
      <c r="D286" s="11" t="s">
        <v>713</v>
      </c>
      <c r="E286" s="11" t="s">
        <v>719</v>
      </c>
      <c r="F286" s="11" t="s">
        <v>720</v>
      </c>
      <c r="G286" s="12">
        <v>0.0</v>
      </c>
      <c r="H286" s="12">
        <f>71+77+66</f>
        <v>214</v>
      </c>
      <c r="I286" s="10">
        <f>15+12+4</f>
        <v>31</v>
      </c>
      <c r="J286" s="11" t="s">
        <v>707</v>
      </c>
    </row>
    <row r="287" ht="54.0" customHeight="1">
      <c r="A287" s="10">
        <v>2022.0</v>
      </c>
      <c r="B287" s="10" t="s">
        <v>10</v>
      </c>
      <c r="C287" s="11" t="s">
        <v>31</v>
      </c>
      <c r="D287" s="11" t="s">
        <v>721</v>
      </c>
      <c r="E287" s="11" t="s">
        <v>705</v>
      </c>
      <c r="F287" s="11" t="s">
        <v>722</v>
      </c>
      <c r="G287" s="12">
        <v>0.0</v>
      </c>
      <c r="H287" s="12">
        <f>50+50+50</f>
        <v>150</v>
      </c>
      <c r="I287" s="10">
        <f t="shared" ref="I287:I288" si="78">5+7+8</f>
        <v>20</v>
      </c>
      <c r="J287" s="11" t="s">
        <v>707</v>
      </c>
    </row>
    <row r="288" ht="54.0" customHeight="1">
      <c r="A288" s="10">
        <v>2022.0</v>
      </c>
      <c r="B288" s="10" t="s">
        <v>10</v>
      </c>
      <c r="C288" s="11" t="s">
        <v>31</v>
      </c>
      <c r="D288" s="11" t="s">
        <v>721</v>
      </c>
      <c r="E288" s="11" t="s">
        <v>723</v>
      </c>
      <c r="F288" s="11" t="s">
        <v>724</v>
      </c>
      <c r="G288" s="12">
        <v>0.0</v>
      </c>
      <c r="H288" s="12">
        <f>30+30+120</f>
        <v>180</v>
      </c>
      <c r="I288" s="10">
        <f t="shared" si="78"/>
        <v>20</v>
      </c>
      <c r="J288" s="11" t="s">
        <v>707</v>
      </c>
    </row>
    <row r="289" ht="54.0" customHeight="1">
      <c r="A289" s="10">
        <v>2022.0</v>
      </c>
      <c r="B289" s="10" t="s">
        <v>10</v>
      </c>
      <c r="C289" s="11" t="s">
        <v>31</v>
      </c>
      <c r="D289" s="11" t="s">
        <v>721</v>
      </c>
      <c r="E289" s="11" t="s">
        <v>579</v>
      </c>
      <c r="F289" s="11" t="s">
        <v>580</v>
      </c>
      <c r="G289" s="12">
        <v>0.0</v>
      </c>
      <c r="H289" s="12">
        <f>250+250+300</f>
        <v>800</v>
      </c>
      <c r="I289" s="10">
        <f>45+50+100</f>
        <v>195</v>
      </c>
      <c r="J289" s="11" t="s">
        <v>707</v>
      </c>
    </row>
    <row r="290" ht="54.0" customHeight="1">
      <c r="A290" s="10">
        <v>2022.0</v>
      </c>
      <c r="B290" s="10" t="s">
        <v>10</v>
      </c>
      <c r="C290" s="11" t="s">
        <v>31</v>
      </c>
      <c r="D290" s="11" t="s">
        <v>721</v>
      </c>
      <c r="E290" s="11" t="s">
        <v>725</v>
      </c>
      <c r="F290" s="11" t="s">
        <v>726</v>
      </c>
      <c r="G290" s="12">
        <v>0.0</v>
      </c>
      <c r="H290" s="12">
        <f>5+5+8</f>
        <v>18</v>
      </c>
      <c r="I290" s="10">
        <f>0+0+0</f>
        <v>0</v>
      </c>
      <c r="J290" s="11" t="s">
        <v>707</v>
      </c>
    </row>
    <row r="291" ht="15.75" customHeight="1">
      <c r="A291" s="10">
        <v>2022.0</v>
      </c>
      <c r="B291" s="10" t="s">
        <v>10</v>
      </c>
      <c r="C291" s="11" t="s">
        <v>31</v>
      </c>
      <c r="D291" s="11" t="s">
        <v>727</v>
      </c>
      <c r="E291" s="11" t="s">
        <v>728</v>
      </c>
      <c r="F291" s="11" t="s">
        <v>729</v>
      </c>
      <c r="G291" s="12">
        <v>0.0</v>
      </c>
      <c r="H291" s="12">
        <f>0+0+5732</f>
        <v>5732</v>
      </c>
      <c r="I291" s="10">
        <f>11+2+56</f>
        <v>69</v>
      </c>
      <c r="J291" s="11" t="s">
        <v>691</v>
      </c>
    </row>
    <row r="292" ht="53.25" customHeight="1">
      <c r="A292" s="10">
        <v>2022.0</v>
      </c>
      <c r="B292" s="10" t="s">
        <v>10</v>
      </c>
      <c r="C292" s="11" t="s">
        <v>31</v>
      </c>
      <c r="D292" s="11" t="s">
        <v>727</v>
      </c>
      <c r="E292" s="13" t="s">
        <v>730</v>
      </c>
      <c r="F292" s="11" t="s">
        <v>731</v>
      </c>
      <c r="G292" s="12">
        <v>0.0</v>
      </c>
      <c r="H292" s="12">
        <f>0+450+450</f>
        <v>900</v>
      </c>
      <c r="I292" s="10">
        <f>1426+2076+0</f>
        <v>3502</v>
      </c>
      <c r="J292" s="11"/>
    </row>
    <row r="293" ht="15.75" customHeight="1">
      <c r="A293" s="10">
        <v>2022.0</v>
      </c>
      <c r="B293" s="10" t="s">
        <v>10</v>
      </c>
      <c r="C293" s="11" t="s">
        <v>31</v>
      </c>
      <c r="D293" s="11" t="s">
        <v>727</v>
      </c>
      <c r="E293" s="11" t="s">
        <v>732</v>
      </c>
      <c r="F293" s="11" t="s">
        <v>188</v>
      </c>
      <c r="G293" s="12">
        <v>0.0</v>
      </c>
      <c r="H293" s="12">
        <f>0+0+2200</f>
        <v>2200</v>
      </c>
      <c r="I293" s="10">
        <f>180+276+503</f>
        <v>959</v>
      </c>
      <c r="J293" s="11" t="s">
        <v>691</v>
      </c>
    </row>
    <row r="294" ht="15.75" customHeight="1">
      <c r="A294" s="10">
        <v>2022.0</v>
      </c>
      <c r="B294" s="10" t="s">
        <v>10</v>
      </c>
      <c r="C294" s="11" t="s">
        <v>31</v>
      </c>
      <c r="D294" s="11" t="s">
        <v>733</v>
      </c>
      <c r="E294" s="11" t="s">
        <v>734</v>
      </c>
      <c r="F294" s="11" t="s">
        <v>644</v>
      </c>
      <c r="G294" s="12">
        <v>0.0</v>
      </c>
      <c r="H294" s="12">
        <f t="shared" ref="H294:H296" si="79">0+1+1</f>
        <v>2</v>
      </c>
      <c r="I294" s="10">
        <f>1+1+0</f>
        <v>2</v>
      </c>
      <c r="J294" s="11" t="s">
        <v>735</v>
      </c>
    </row>
    <row r="295" ht="15.75" customHeight="1">
      <c r="A295" s="10">
        <v>2022.0</v>
      </c>
      <c r="B295" s="10" t="s">
        <v>10</v>
      </c>
      <c r="C295" s="11" t="s">
        <v>31</v>
      </c>
      <c r="D295" s="11" t="s">
        <v>733</v>
      </c>
      <c r="E295" s="11" t="s">
        <v>736</v>
      </c>
      <c r="F295" s="13" t="s">
        <v>737</v>
      </c>
      <c r="G295" s="12">
        <v>0.0</v>
      </c>
      <c r="H295" s="12">
        <f t="shared" si="79"/>
        <v>2</v>
      </c>
      <c r="I295" s="10">
        <f>5+4+4</f>
        <v>13</v>
      </c>
      <c r="J295" s="11" t="s">
        <v>735</v>
      </c>
    </row>
    <row r="296" ht="15.75" customHeight="1">
      <c r="A296" s="10">
        <v>2022.0</v>
      </c>
      <c r="B296" s="10" t="s">
        <v>10</v>
      </c>
      <c r="C296" s="11" t="s">
        <v>31</v>
      </c>
      <c r="D296" s="11" t="s">
        <v>733</v>
      </c>
      <c r="E296" s="11" t="s">
        <v>738</v>
      </c>
      <c r="F296" s="11" t="s">
        <v>739</v>
      </c>
      <c r="G296" s="12">
        <v>0.0</v>
      </c>
      <c r="H296" s="12">
        <f t="shared" si="79"/>
        <v>2</v>
      </c>
      <c r="I296" s="10">
        <f>1+1+1</f>
        <v>3</v>
      </c>
      <c r="J296" s="11" t="s">
        <v>735</v>
      </c>
    </row>
    <row r="297" ht="68.25" customHeight="1">
      <c r="A297" s="10">
        <v>2022.0</v>
      </c>
      <c r="B297" s="10" t="s">
        <v>10</v>
      </c>
      <c r="C297" s="11" t="s">
        <v>31</v>
      </c>
      <c r="D297" s="13" t="s">
        <v>740</v>
      </c>
      <c r="E297" s="11" t="s">
        <v>741</v>
      </c>
      <c r="F297" s="11" t="s">
        <v>742</v>
      </c>
      <c r="G297" s="12">
        <v>48.0</v>
      </c>
      <c r="H297" s="12">
        <f>1+2+5</f>
        <v>8</v>
      </c>
      <c r="I297" s="10">
        <f>8+16+16</f>
        <v>40</v>
      </c>
      <c r="J297" s="11" t="s">
        <v>735</v>
      </c>
    </row>
    <row r="298" ht="68.25" customHeight="1">
      <c r="A298" s="10">
        <v>2022.0</v>
      </c>
      <c r="B298" s="10" t="s">
        <v>10</v>
      </c>
      <c r="C298" s="11" t="s">
        <v>31</v>
      </c>
      <c r="D298" s="13" t="s">
        <v>740</v>
      </c>
      <c r="E298" s="11" t="s">
        <v>743</v>
      </c>
      <c r="F298" s="11" t="s">
        <v>744</v>
      </c>
      <c r="G298" s="12">
        <v>15.0</v>
      </c>
      <c r="H298" s="12">
        <f t="shared" ref="H298:I298" si="80">1+1+2</f>
        <v>4</v>
      </c>
      <c r="I298" s="10">
        <f t="shared" si="80"/>
        <v>4</v>
      </c>
      <c r="J298" s="11" t="s">
        <v>735</v>
      </c>
    </row>
    <row r="299" ht="68.25" customHeight="1">
      <c r="A299" s="10">
        <v>2022.0</v>
      </c>
      <c r="B299" s="10" t="s">
        <v>10</v>
      </c>
      <c r="C299" s="11" t="s">
        <v>31</v>
      </c>
      <c r="D299" s="13" t="s">
        <v>740</v>
      </c>
      <c r="E299" s="11" t="s">
        <v>745</v>
      </c>
      <c r="F299" s="11" t="s">
        <v>746</v>
      </c>
      <c r="G299" s="12">
        <v>3.0</v>
      </c>
      <c r="H299" s="12">
        <f>0+0+1</f>
        <v>1</v>
      </c>
      <c r="I299" s="10">
        <f>0+0+0</f>
        <v>0</v>
      </c>
      <c r="J299" s="11" t="s">
        <v>735</v>
      </c>
    </row>
    <row r="300" ht="15.75" customHeight="1">
      <c r="A300" s="10">
        <v>2022.0</v>
      </c>
      <c r="B300" s="10" t="s">
        <v>10</v>
      </c>
      <c r="C300" s="11" t="s">
        <v>31</v>
      </c>
      <c r="D300" s="11" t="s">
        <v>747</v>
      </c>
      <c r="E300" s="11" t="s">
        <v>748</v>
      </c>
      <c r="F300" s="11" t="s">
        <v>749</v>
      </c>
      <c r="G300" s="12">
        <v>0.0</v>
      </c>
      <c r="H300" s="12">
        <f>1+4+6</f>
        <v>11</v>
      </c>
      <c r="I300" s="10">
        <f>2+2+10</f>
        <v>14</v>
      </c>
      <c r="J300" s="11" t="s">
        <v>735</v>
      </c>
    </row>
    <row r="301" ht="15.75" customHeight="1">
      <c r="A301" s="10">
        <v>2022.0</v>
      </c>
      <c r="B301" s="10" t="s">
        <v>10</v>
      </c>
      <c r="C301" s="11" t="s">
        <v>31</v>
      </c>
      <c r="D301" s="11" t="s">
        <v>747</v>
      </c>
      <c r="E301" s="11" t="s">
        <v>634</v>
      </c>
      <c r="F301" s="11" t="s">
        <v>186</v>
      </c>
      <c r="G301" s="12">
        <v>0.0</v>
      </c>
      <c r="H301" s="12">
        <f>0+0+1</f>
        <v>1</v>
      </c>
      <c r="I301" s="10">
        <f>0+0+0</f>
        <v>0</v>
      </c>
      <c r="J301" s="11" t="s">
        <v>735</v>
      </c>
    </row>
    <row r="302" ht="15.75" customHeight="1">
      <c r="A302" s="10">
        <v>2022.0</v>
      </c>
      <c r="B302" s="10" t="s">
        <v>10</v>
      </c>
      <c r="C302" s="11" t="s">
        <v>31</v>
      </c>
      <c r="D302" s="11" t="s">
        <v>747</v>
      </c>
      <c r="E302" s="11" t="s">
        <v>750</v>
      </c>
      <c r="F302" s="11" t="s">
        <v>751</v>
      </c>
      <c r="G302" s="12">
        <v>0.0</v>
      </c>
      <c r="H302" s="12">
        <f t="shared" ref="H302:I302" si="81">0+0+0</f>
        <v>0</v>
      </c>
      <c r="I302" s="10">
        <f t="shared" si="81"/>
        <v>0</v>
      </c>
      <c r="J302" s="11" t="s">
        <v>735</v>
      </c>
    </row>
    <row r="303" ht="15.75" customHeight="1">
      <c r="A303" s="10">
        <v>2022.0</v>
      </c>
      <c r="B303" s="10" t="s">
        <v>10</v>
      </c>
      <c r="C303" s="11" t="s">
        <v>31</v>
      </c>
      <c r="D303" s="11" t="s">
        <v>747</v>
      </c>
      <c r="E303" s="11" t="s">
        <v>752</v>
      </c>
      <c r="F303" s="11" t="s">
        <v>753</v>
      </c>
      <c r="G303" s="12">
        <v>1.0</v>
      </c>
      <c r="H303" s="12">
        <f t="shared" ref="H303:H305" si="82">0+0+0</f>
        <v>0</v>
      </c>
      <c r="I303" s="10">
        <f t="shared" ref="I303:I304" si="83">0+1+0</f>
        <v>1</v>
      </c>
      <c r="J303" s="11" t="s">
        <v>735</v>
      </c>
    </row>
    <row r="304" ht="15.75" customHeight="1">
      <c r="A304" s="10">
        <v>2022.0</v>
      </c>
      <c r="B304" s="10" t="s">
        <v>10</v>
      </c>
      <c r="C304" s="11" t="s">
        <v>31</v>
      </c>
      <c r="D304" s="11" t="s">
        <v>747</v>
      </c>
      <c r="E304" s="13" t="s">
        <v>754</v>
      </c>
      <c r="F304" s="11" t="s">
        <v>755</v>
      </c>
      <c r="G304" s="12">
        <v>1.0</v>
      </c>
      <c r="H304" s="12">
        <f t="shared" si="82"/>
        <v>0</v>
      </c>
      <c r="I304" s="10">
        <f t="shared" si="83"/>
        <v>1</v>
      </c>
      <c r="J304" s="11" t="s">
        <v>735</v>
      </c>
    </row>
    <row r="305" ht="15.75" customHeight="1">
      <c r="A305" s="10">
        <v>2022.0</v>
      </c>
      <c r="B305" s="10" t="s">
        <v>10</v>
      </c>
      <c r="C305" s="11" t="s">
        <v>31</v>
      </c>
      <c r="D305" s="11" t="s">
        <v>747</v>
      </c>
      <c r="E305" s="11" t="s">
        <v>756</v>
      </c>
      <c r="F305" s="11" t="s">
        <v>757</v>
      </c>
      <c r="G305" s="12">
        <v>1.0</v>
      </c>
      <c r="H305" s="12">
        <f t="shared" si="82"/>
        <v>0</v>
      </c>
      <c r="I305" s="10">
        <f>0+0+0</f>
        <v>0</v>
      </c>
      <c r="J305" s="11" t="s">
        <v>735</v>
      </c>
    </row>
    <row r="306" ht="15.75" customHeight="1">
      <c r="A306" s="10">
        <v>2022.0</v>
      </c>
      <c r="B306" s="10" t="s">
        <v>10</v>
      </c>
      <c r="C306" s="11" t="s">
        <v>31</v>
      </c>
      <c r="D306" s="11" t="s">
        <v>747</v>
      </c>
      <c r="E306" s="17" t="s">
        <v>758</v>
      </c>
      <c r="F306" s="17" t="s">
        <v>759</v>
      </c>
      <c r="G306" s="12">
        <v>0.0</v>
      </c>
      <c r="H306" s="12">
        <f t="shared" ref="H306:I306" si="84">1+2+3</f>
        <v>6</v>
      </c>
      <c r="I306" s="12">
        <f t="shared" si="84"/>
        <v>6</v>
      </c>
      <c r="J306" s="11" t="s">
        <v>735</v>
      </c>
    </row>
    <row r="307" ht="15.75" customHeight="1">
      <c r="A307" s="10">
        <v>2022.0</v>
      </c>
      <c r="B307" s="10" t="s">
        <v>10</v>
      </c>
      <c r="C307" s="11" t="s">
        <v>31</v>
      </c>
      <c r="D307" s="11" t="s">
        <v>760</v>
      </c>
      <c r="E307" s="17" t="s">
        <v>761</v>
      </c>
      <c r="F307" s="17" t="s">
        <v>762</v>
      </c>
      <c r="G307" s="12">
        <v>0.0</v>
      </c>
      <c r="H307" s="12">
        <f>9+9+9</f>
        <v>27</v>
      </c>
      <c r="I307" s="12">
        <f>0+14+17</f>
        <v>31</v>
      </c>
      <c r="J307" s="11" t="s">
        <v>735</v>
      </c>
    </row>
    <row r="308" ht="15.75" customHeight="1">
      <c r="A308" s="10">
        <v>2022.0</v>
      </c>
      <c r="B308" s="10" t="s">
        <v>10</v>
      </c>
      <c r="C308" s="11" t="s">
        <v>31</v>
      </c>
      <c r="D308" s="11" t="s">
        <v>760</v>
      </c>
      <c r="E308" s="17" t="s">
        <v>763</v>
      </c>
      <c r="F308" s="17" t="s">
        <v>764</v>
      </c>
      <c r="G308" s="12">
        <v>0.0</v>
      </c>
      <c r="H308" s="12">
        <f>300+300+300</f>
        <v>900</v>
      </c>
      <c r="I308" s="12">
        <f>0+274+392</f>
        <v>666</v>
      </c>
      <c r="J308" s="11" t="s">
        <v>735</v>
      </c>
    </row>
    <row r="309" ht="15.75" customHeight="1">
      <c r="A309" s="10">
        <v>2022.0</v>
      </c>
      <c r="B309" s="10" t="s">
        <v>10</v>
      </c>
      <c r="C309" s="11" t="s">
        <v>31</v>
      </c>
      <c r="D309" s="11" t="s">
        <v>765</v>
      </c>
      <c r="E309" s="19" t="s">
        <v>766</v>
      </c>
      <c r="F309" s="19" t="s">
        <v>767</v>
      </c>
      <c r="G309" s="12">
        <v>34.0</v>
      </c>
      <c r="H309" s="12">
        <f>2+4+4</f>
        <v>10</v>
      </c>
      <c r="I309" s="12">
        <f>0+0+17</f>
        <v>17</v>
      </c>
      <c r="J309" s="11" t="s">
        <v>768</v>
      </c>
    </row>
    <row r="310" ht="15.75" customHeight="1">
      <c r="A310" s="10">
        <v>2022.0</v>
      </c>
      <c r="B310" s="10" t="s">
        <v>10</v>
      </c>
      <c r="C310" s="11" t="s">
        <v>31</v>
      </c>
      <c r="D310" s="11" t="s">
        <v>769</v>
      </c>
      <c r="E310" s="17" t="s">
        <v>770</v>
      </c>
      <c r="F310" s="17" t="s">
        <v>771</v>
      </c>
      <c r="G310" s="12">
        <v>20.0</v>
      </c>
      <c r="H310" s="12">
        <f>2+2+2</f>
        <v>6</v>
      </c>
      <c r="I310" s="12">
        <f>0+1+10</f>
        <v>11</v>
      </c>
      <c r="J310" s="11" t="s">
        <v>768</v>
      </c>
    </row>
    <row r="311" ht="15.75" customHeight="1">
      <c r="A311" s="10">
        <v>2022.0</v>
      </c>
      <c r="B311" s="10" t="s">
        <v>10</v>
      </c>
      <c r="C311" s="11" t="s">
        <v>31</v>
      </c>
      <c r="D311" s="11" t="s">
        <v>772</v>
      </c>
      <c r="E311" s="17" t="s">
        <v>773</v>
      </c>
      <c r="F311" s="17" t="s">
        <v>774</v>
      </c>
      <c r="G311" s="12">
        <v>60.0</v>
      </c>
      <c r="H311" s="12">
        <f>0+6+6</f>
        <v>12</v>
      </c>
      <c r="I311" s="12">
        <f>3+7+7</f>
        <v>17</v>
      </c>
      <c r="J311" s="11" t="s">
        <v>768</v>
      </c>
    </row>
    <row r="312" ht="63.0" customHeight="1">
      <c r="A312" s="10">
        <v>2022.0</v>
      </c>
      <c r="B312" s="10" t="s">
        <v>10</v>
      </c>
      <c r="C312" s="11" t="s">
        <v>11</v>
      </c>
      <c r="D312" s="11" t="s">
        <v>775</v>
      </c>
      <c r="E312" s="17" t="s">
        <v>776</v>
      </c>
      <c r="F312" s="17" t="s">
        <v>101</v>
      </c>
      <c r="G312" s="12">
        <v>1200.0</v>
      </c>
      <c r="H312" s="12">
        <f>100+100+100</f>
        <v>300</v>
      </c>
      <c r="I312" s="12">
        <f>3700+1708+1382</f>
        <v>6790</v>
      </c>
      <c r="J312" s="11" t="s">
        <v>777</v>
      </c>
    </row>
    <row r="313" ht="63.0" customHeight="1">
      <c r="A313" s="10">
        <v>2022.0</v>
      </c>
      <c r="B313" s="10" t="s">
        <v>10</v>
      </c>
      <c r="C313" s="11" t="s">
        <v>11</v>
      </c>
      <c r="D313" s="11" t="s">
        <v>775</v>
      </c>
      <c r="E313" s="17" t="s">
        <v>778</v>
      </c>
      <c r="F313" s="17" t="s">
        <v>81</v>
      </c>
      <c r="G313" s="12">
        <v>0.0</v>
      </c>
      <c r="H313" s="12">
        <f>0+20+20</f>
        <v>40</v>
      </c>
      <c r="I313" s="12">
        <f>0+0+2</f>
        <v>2</v>
      </c>
      <c r="J313" s="11" t="s">
        <v>777</v>
      </c>
    </row>
    <row r="314" ht="63.0" customHeight="1">
      <c r="A314" s="10">
        <v>2022.0</v>
      </c>
      <c r="B314" s="10" t="s">
        <v>10</v>
      </c>
      <c r="C314" s="11" t="s">
        <v>11</v>
      </c>
      <c r="D314" s="11" t="s">
        <v>775</v>
      </c>
      <c r="E314" s="17" t="s">
        <v>779</v>
      </c>
      <c r="F314" s="17" t="s">
        <v>37</v>
      </c>
      <c r="G314" s="12">
        <v>2.0</v>
      </c>
      <c r="H314" s="12">
        <f>0+0+0</f>
        <v>0</v>
      </c>
      <c r="I314" s="12">
        <f>0+1+0</f>
        <v>1</v>
      </c>
      <c r="J314" s="11" t="s">
        <v>777</v>
      </c>
    </row>
    <row r="315" ht="15.75" customHeight="1">
      <c r="A315" s="10">
        <v>2022.0</v>
      </c>
      <c r="B315" s="10" t="s">
        <v>10</v>
      </c>
      <c r="C315" s="11" t="s">
        <v>240</v>
      </c>
      <c r="D315" s="13" t="s">
        <v>780</v>
      </c>
      <c r="E315" s="17" t="s">
        <v>781</v>
      </c>
      <c r="F315" s="19" t="s">
        <v>782</v>
      </c>
      <c r="G315" s="12">
        <v>160.0</v>
      </c>
      <c r="H315" s="12">
        <f>5+15+10</f>
        <v>30</v>
      </c>
      <c r="I315" s="12">
        <f>13+20+22</f>
        <v>55</v>
      </c>
      <c r="J315" s="11" t="s">
        <v>783</v>
      </c>
    </row>
    <row r="316" ht="15.75" customHeight="1">
      <c r="A316" s="10">
        <v>2022.0</v>
      </c>
      <c r="B316" s="10" t="s">
        <v>10</v>
      </c>
      <c r="C316" s="11" t="s">
        <v>240</v>
      </c>
      <c r="D316" s="13" t="s">
        <v>780</v>
      </c>
      <c r="E316" s="17" t="s">
        <v>784</v>
      </c>
      <c r="F316" s="17" t="s">
        <v>785</v>
      </c>
      <c r="G316" s="12">
        <v>80.0</v>
      </c>
      <c r="H316" s="12">
        <f>5+5+7</f>
        <v>17</v>
      </c>
      <c r="I316" s="12">
        <f>16+3+17</f>
        <v>36</v>
      </c>
      <c r="J316" s="11" t="s">
        <v>783</v>
      </c>
    </row>
    <row r="317" ht="37.5" customHeight="1">
      <c r="A317" s="10">
        <v>2022.0</v>
      </c>
      <c r="B317" s="10" t="s">
        <v>10</v>
      </c>
      <c r="C317" s="11" t="s">
        <v>240</v>
      </c>
      <c r="D317" s="13" t="s">
        <v>780</v>
      </c>
      <c r="E317" s="17" t="s">
        <v>786</v>
      </c>
      <c r="F317" s="17" t="s">
        <v>787</v>
      </c>
      <c r="G317" s="12">
        <v>1.0</v>
      </c>
      <c r="H317" s="12">
        <f t="shared" ref="H317:I317" si="85">0+0+0</f>
        <v>0</v>
      </c>
      <c r="I317" s="12">
        <f t="shared" si="85"/>
        <v>0</v>
      </c>
      <c r="J317" s="11" t="s">
        <v>783</v>
      </c>
    </row>
    <row r="318" ht="49.5" customHeight="1">
      <c r="A318" s="10">
        <v>2022.0</v>
      </c>
      <c r="B318" s="10" t="s">
        <v>10</v>
      </c>
      <c r="C318" s="11" t="s">
        <v>240</v>
      </c>
      <c r="D318" s="13" t="s">
        <v>780</v>
      </c>
      <c r="E318" s="17" t="s">
        <v>786</v>
      </c>
      <c r="F318" s="17" t="s">
        <v>787</v>
      </c>
      <c r="G318" s="12">
        <v>1.0</v>
      </c>
      <c r="H318" s="12">
        <f t="shared" ref="H318:I318" si="86">0+0+0</f>
        <v>0</v>
      </c>
      <c r="I318" s="12">
        <f t="shared" si="86"/>
        <v>0</v>
      </c>
      <c r="J318" s="11" t="s">
        <v>783</v>
      </c>
    </row>
    <row r="319" ht="62.25" customHeight="1">
      <c r="A319" s="10">
        <v>2022.0</v>
      </c>
      <c r="B319" s="10" t="s">
        <v>10</v>
      </c>
      <c r="C319" s="11" t="s">
        <v>240</v>
      </c>
      <c r="D319" s="11" t="s">
        <v>788</v>
      </c>
      <c r="E319" s="17" t="s">
        <v>789</v>
      </c>
      <c r="F319" s="17" t="s">
        <v>790</v>
      </c>
      <c r="G319" s="12">
        <v>3000.0</v>
      </c>
      <c r="H319" s="12">
        <f>30+45+45</f>
        <v>120</v>
      </c>
      <c r="I319" s="12">
        <f>115+225+130</f>
        <v>470</v>
      </c>
      <c r="J319" s="11" t="s">
        <v>791</v>
      </c>
    </row>
    <row r="320" ht="62.25" customHeight="1">
      <c r="A320" s="10">
        <v>2022.0</v>
      </c>
      <c r="B320" s="10" t="s">
        <v>10</v>
      </c>
      <c r="C320" s="11" t="s">
        <v>240</v>
      </c>
      <c r="D320" s="11" t="s">
        <v>788</v>
      </c>
      <c r="E320" s="17" t="s">
        <v>786</v>
      </c>
      <c r="F320" s="19" t="s">
        <v>787</v>
      </c>
      <c r="G320" s="12">
        <v>1.0</v>
      </c>
      <c r="H320" s="12">
        <f t="shared" ref="H320:I320" si="87">0+0+0</f>
        <v>0</v>
      </c>
      <c r="I320" s="12">
        <f t="shared" si="87"/>
        <v>0</v>
      </c>
      <c r="J320" s="11" t="s">
        <v>791</v>
      </c>
    </row>
    <row r="321" ht="62.25" customHeight="1">
      <c r="A321" s="10">
        <v>2022.0</v>
      </c>
      <c r="B321" s="10" t="s">
        <v>10</v>
      </c>
      <c r="C321" s="11" t="s">
        <v>240</v>
      </c>
      <c r="D321" s="11" t="s">
        <v>788</v>
      </c>
      <c r="E321" s="17" t="s">
        <v>792</v>
      </c>
      <c r="F321" s="17" t="s">
        <v>793</v>
      </c>
      <c r="G321" s="12">
        <v>6.0</v>
      </c>
      <c r="H321" s="12">
        <f>1+0+1</f>
        <v>2</v>
      </c>
      <c r="I321" s="12">
        <f>0+1+0</f>
        <v>1</v>
      </c>
      <c r="J321" s="11" t="s">
        <v>791</v>
      </c>
    </row>
    <row r="322" ht="62.25" customHeight="1">
      <c r="A322" s="10">
        <v>2022.0</v>
      </c>
      <c r="B322" s="10" t="s">
        <v>10</v>
      </c>
      <c r="C322" s="11" t="s">
        <v>240</v>
      </c>
      <c r="D322" s="11" t="s">
        <v>788</v>
      </c>
      <c r="E322" s="17" t="s">
        <v>794</v>
      </c>
      <c r="F322" s="17" t="s">
        <v>795</v>
      </c>
      <c r="G322" s="12">
        <v>70.0</v>
      </c>
      <c r="H322" s="12">
        <f>5+6+6</f>
        <v>17</v>
      </c>
      <c r="I322" s="12">
        <f>7+11+14</f>
        <v>32</v>
      </c>
      <c r="J322" s="11" t="s">
        <v>791</v>
      </c>
    </row>
    <row r="323" ht="62.25" customHeight="1">
      <c r="A323" s="10">
        <v>2022.0</v>
      </c>
      <c r="B323" s="10" t="s">
        <v>10</v>
      </c>
      <c r="C323" s="11" t="s">
        <v>240</v>
      </c>
      <c r="D323" s="11" t="s">
        <v>796</v>
      </c>
      <c r="E323" s="17" t="s">
        <v>797</v>
      </c>
      <c r="F323" s="19" t="s">
        <v>798</v>
      </c>
      <c r="G323" s="12">
        <v>7.0</v>
      </c>
      <c r="H323" s="12">
        <f>1+1+1</f>
        <v>3</v>
      </c>
      <c r="I323" s="12">
        <f>1+1+0</f>
        <v>2</v>
      </c>
      <c r="J323" s="11" t="s">
        <v>799</v>
      </c>
    </row>
    <row r="324" ht="62.25" customHeight="1">
      <c r="A324" s="10">
        <v>2022.0</v>
      </c>
      <c r="B324" s="10" t="s">
        <v>10</v>
      </c>
      <c r="C324" s="11" t="s">
        <v>240</v>
      </c>
      <c r="D324" s="11" t="s">
        <v>796</v>
      </c>
      <c r="E324" s="17" t="s">
        <v>800</v>
      </c>
      <c r="F324" s="17" t="s">
        <v>801</v>
      </c>
      <c r="G324" s="12">
        <v>35.0</v>
      </c>
      <c r="H324" s="12">
        <f>25+25+25</f>
        <v>75</v>
      </c>
      <c r="I324" s="12">
        <f>0+0+5</f>
        <v>5</v>
      </c>
      <c r="J324" s="11" t="s">
        <v>799</v>
      </c>
    </row>
    <row r="325" ht="62.25" customHeight="1">
      <c r="A325" s="10">
        <v>2022.0</v>
      </c>
      <c r="B325" s="10" t="s">
        <v>10</v>
      </c>
      <c r="C325" s="11" t="s">
        <v>240</v>
      </c>
      <c r="D325" s="11" t="s">
        <v>796</v>
      </c>
      <c r="E325" s="17" t="s">
        <v>792</v>
      </c>
      <c r="F325" s="17" t="s">
        <v>785</v>
      </c>
      <c r="G325" s="12">
        <v>183.0</v>
      </c>
      <c r="H325" s="12">
        <f>10+50+50</f>
        <v>110</v>
      </c>
      <c r="I325" s="12">
        <f>26+54+56</f>
        <v>136</v>
      </c>
      <c r="J325" s="11" t="s">
        <v>799</v>
      </c>
    </row>
    <row r="326" ht="62.25" customHeight="1">
      <c r="A326" s="10">
        <v>2022.0</v>
      </c>
      <c r="B326" s="10" t="s">
        <v>10</v>
      </c>
      <c r="C326" s="11" t="s">
        <v>240</v>
      </c>
      <c r="D326" s="11" t="s">
        <v>796</v>
      </c>
      <c r="E326" s="17" t="s">
        <v>802</v>
      </c>
      <c r="F326" s="17" t="s">
        <v>803</v>
      </c>
      <c r="G326" s="12">
        <v>357.0</v>
      </c>
      <c r="H326" s="12">
        <f>0+0+60</f>
        <v>60</v>
      </c>
      <c r="I326" s="12">
        <f>13+6+10</f>
        <v>29</v>
      </c>
      <c r="J326" s="11" t="s">
        <v>799</v>
      </c>
    </row>
    <row r="327" ht="62.25" customHeight="1">
      <c r="A327" s="10">
        <v>2022.0</v>
      </c>
      <c r="B327" s="10" t="s">
        <v>10</v>
      </c>
      <c r="C327" s="11" t="s">
        <v>240</v>
      </c>
      <c r="D327" s="11" t="s">
        <v>796</v>
      </c>
      <c r="E327" s="17" t="s">
        <v>804</v>
      </c>
      <c r="F327" s="17" t="s">
        <v>805</v>
      </c>
      <c r="G327" s="12">
        <v>15600.0</v>
      </c>
      <c r="H327" s="12">
        <f>200+200+500</f>
        <v>900</v>
      </c>
      <c r="I327" s="12">
        <f>19+66+991</f>
        <v>1076</v>
      </c>
      <c r="J327" s="11" t="s">
        <v>799</v>
      </c>
    </row>
    <row r="328" ht="70.5" customHeight="1">
      <c r="A328" s="10">
        <v>2022.0</v>
      </c>
      <c r="B328" s="10" t="s">
        <v>10</v>
      </c>
      <c r="C328" s="11" t="s">
        <v>11</v>
      </c>
      <c r="D328" s="11" t="s">
        <v>806</v>
      </c>
      <c r="E328" s="17" t="s">
        <v>807</v>
      </c>
      <c r="F328" s="17" t="s">
        <v>808</v>
      </c>
      <c r="G328" s="12">
        <v>48.0</v>
      </c>
      <c r="H328" s="12">
        <f>4+4+4</f>
        <v>12</v>
      </c>
      <c r="I328" s="12">
        <v>12.0</v>
      </c>
      <c r="J328" s="17" t="s">
        <v>809</v>
      </c>
    </row>
    <row r="329" ht="70.5" customHeight="1">
      <c r="A329" s="10">
        <v>2022.0</v>
      </c>
      <c r="B329" s="10" t="s">
        <v>10</v>
      </c>
      <c r="C329" s="11" t="s">
        <v>11</v>
      </c>
      <c r="D329" s="11" t="s">
        <v>806</v>
      </c>
      <c r="E329" s="17" t="s">
        <v>810</v>
      </c>
      <c r="F329" s="17" t="s">
        <v>811</v>
      </c>
      <c r="G329" s="20">
        <v>1.0</v>
      </c>
      <c r="H329" s="20">
        <v>0.0</v>
      </c>
      <c r="I329" s="20">
        <v>0.0</v>
      </c>
      <c r="J329" s="17" t="s">
        <v>809</v>
      </c>
    </row>
    <row r="330" ht="70.5" customHeight="1">
      <c r="A330" s="10">
        <v>2022.0</v>
      </c>
      <c r="B330" s="10" t="s">
        <v>10</v>
      </c>
      <c r="C330" s="11" t="s">
        <v>11</v>
      </c>
      <c r="D330" s="11" t="s">
        <v>806</v>
      </c>
      <c r="E330" s="17" t="s">
        <v>812</v>
      </c>
      <c r="F330" s="17" t="s">
        <v>813</v>
      </c>
      <c r="G330" s="12">
        <v>0.0</v>
      </c>
      <c r="H330" s="12">
        <v>0.0</v>
      </c>
      <c r="I330" s="12">
        <v>0.0</v>
      </c>
      <c r="J330" s="17" t="s">
        <v>809</v>
      </c>
    </row>
    <row r="331" ht="70.5" customHeight="1">
      <c r="A331" s="10">
        <v>2022.0</v>
      </c>
      <c r="B331" s="10" t="s">
        <v>10</v>
      </c>
      <c r="C331" s="11" t="s">
        <v>11</v>
      </c>
      <c r="D331" s="11" t="s">
        <v>814</v>
      </c>
      <c r="E331" s="17" t="s">
        <v>815</v>
      </c>
      <c r="F331" s="17" t="s">
        <v>816</v>
      </c>
      <c r="G331" s="20">
        <v>1.0</v>
      </c>
      <c r="H331" s="12">
        <f t="shared" ref="H331:I331" si="88">0+0+0</f>
        <v>0</v>
      </c>
      <c r="I331" s="12">
        <f t="shared" si="88"/>
        <v>0</v>
      </c>
      <c r="J331" s="17" t="s">
        <v>817</v>
      </c>
    </row>
    <row r="332" ht="70.5" customHeight="1">
      <c r="A332" s="10">
        <v>2022.0</v>
      </c>
      <c r="B332" s="10" t="s">
        <v>10</v>
      </c>
      <c r="C332" s="11" t="s">
        <v>11</v>
      </c>
      <c r="D332" s="11" t="s">
        <v>814</v>
      </c>
      <c r="E332" s="17" t="s">
        <v>818</v>
      </c>
      <c r="F332" s="17" t="s">
        <v>819</v>
      </c>
      <c r="G332" s="12">
        <v>4.0</v>
      </c>
      <c r="H332" s="12">
        <f>1+0+0</f>
        <v>1</v>
      </c>
      <c r="I332" s="12">
        <v>1.0</v>
      </c>
      <c r="J332" s="17" t="s">
        <v>817</v>
      </c>
    </row>
    <row r="333" ht="69.0" customHeight="1">
      <c r="A333" s="10">
        <v>2022.0</v>
      </c>
      <c r="B333" s="10" t="s">
        <v>10</v>
      </c>
      <c r="C333" s="11" t="s">
        <v>11</v>
      </c>
      <c r="D333" s="11" t="s">
        <v>814</v>
      </c>
      <c r="E333" s="17" t="s">
        <v>820</v>
      </c>
      <c r="F333" s="19" t="s">
        <v>821</v>
      </c>
      <c r="G333" s="20">
        <v>1.0</v>
      </c>
      <c r="H333" s="20">
        <v>0.5</v>
      </c>
      <c r="I333" s="20">
        <v>0.5</v>
      </c>
      <c r="J333" s="17" t="s">
        <v>817</v>
      </c>
    </row>
    <row r="334" ht="69.0" customHeight="1">
      <c r="A334" s="10">
        <v>2022.0</v>
      </c>
      <c r="B334" s="10" t="s">
        <v>10</v>
      </c>
      <c r="C334" s="11" t="s">
        <v>11</v>
      </c>
      <c r="D334" s="11" t="s">
        <v>814</v>
      </c>
      <c r="E334" s="17" t="s">
        <v>820</v>
      </c>
      <c r="F334" s="19" t="s">
        <v>821</v>
      </c>
      <c r="G334" s="20">
        <v>1.0</v>
      </c>
      <c r="H334" s="20">
        <v>0.3334</v>
      </c>
      <c r="I334" s="20">
        <v>0.33</v>
      </c>
      <c r="J334" s="17" t="s">
        <v>817</v>
      </c>
    </row>
    <row r="335" ht="69.0" customHeight="1">
      <c r="A335" s="10">
        <v>2022.0</v>
      </c>
      <c r="B335" s="10" t="s">
        <v>10</v>
      </c>
      <c r="C335" s="11" t="s">
        <v>11</v>
      </c>
      <c r="D335" s="11" t="s">
        <v>814</v>
      </c>
      <c r="E335" s="17" t="s">
        <v>822</v>
      </c>
      <c r="F335" s="17" t="s">
        <v>823</v>
      </c>
      <c r="G335" s="20">
        <v>1.0</v>
      </c>
      <c r="H335" s="20">
        <v>0.0</v>
      </c>
      <c r="I335" s="12">
        <f>0+0+0</f>
        <v>0</v>
      </c>
      <c r="J335" s="17" t="s">
        <v>817</v>
      </c>
    </row>
    <row r="336" ht="69.0" customHeight="1">
      <c r="A336" s="10">
        <v>2022.0</v>
      </c>
      <c r="B336" s="10" t="s">
        <v>10</v>
      </c>
      <c r="C336" s="11" t="s">
        <v>11</v>
      </c>
      <c r="D336" s="11" t="s">
        <v>814</v>
      </c>
      <c r="E336" s="17" t="s">
        <v>824</v>
      </c>
      <c r="F336" s="17" t="s">
        <v>825</v>
      </c>
      <c r="G336" s="12">
        <v>0.0</v>
      </c>
      <c r="H336" s="12">
        <f t="shared" ref="H336:I336" si="89">1+0+0</f>
        <v>1</v>
      </c>
      <c r="I336" s="12">
        <f t="shared" si="89"/>
        <v>1</v>
      </c>
      <c r="J336" s="17" t="s">
        <v>817</v>
      </c>
    </row>
    <row r="337" ht="69.0" customHeight="1">
      <c r="A337" s="10">
        <v>2022.0</v>
      </c>
      <c r="B337" s="10" t="s">
        <v>10</v>
      </c>
      <c r="C337" s="11" t="s">
        <v>11</v>
      </c>
      <c r="D337" s="11" t="s">
        <v>814</v>
      </c>
      <c r="E337" s="17" t="s">
        <v>826</v>
      </c>
      <c r="F337" s="17" t="s">
        <v>827</v>
      </c>
      <c r="G337" s="12">
        <v>0.0</v>
      </c>
      <c r="H337" s="12">
        <v>1.0</v>
      </c>
      <c r="I337" s="12">
        <f>0+0+0</f>
        <v>0</v>
      </c>
      <c r="J337" s="17" t="s">
        <v>817</v>
      </c>
    </row>
    <row r="338" ht="63.0" customHeight="1">
      <c r="A338" s="10">
        <v>2022.0</v>
      </c>
      <c r="B338" s="10" t="s">
        <v>10</v>
      </c>
      <c r="C338" s="11" t="s">
        <v>11</v>
      </c>
      <c r="D338" s="11" t="s">
        <v>828</v>
      </c>
      <c r="E338" s="17" t="s">
        <v>829</v>
      </c>
      <c r="F338" s="17" t="s">
        <v>830</v>
      </c>
      <c r="G338" s="20">
        <v>1.0</v>
      </c>
      <c r="H338" s="29">
        <v>0.25</v>
      </c>
      <c r="I338" s="20">
        <v>0.25</v>
      </c>
      <c r="J338" s="17" t="s">
        <v>831</v>
      </c>
    </row>
    <row r="339" ht="63.0" customHeight="1">
      <c r="A339" s="10">
        <v>2022.0</v>
      </c>
      <c r="B339" s="10" t="s">
        <v>10</v>
      </c>
      <c r="C339" s="11" t="s">
        <v>11</v>
      </c>
      <c r="D339" s="11" t="s">
        <v>828</v>
      </c>
      <c r="E339" s="17" t="s">
        <v>832</v>
      </c>
      <c r="F339" s="17" t="s">
        <v>833</v>
      </c>
      <c r="G339" s="20">
        <v>1.0</v>
      </c>
      <c r="H339" s="29">
        <v>0.25</v>
      </c>
      <c r="I339" s="20">
        <v>0.25</v>
      </c>
      <c r="J339" s="17" t="s">
        <v>831</v>
      </c>
    </row>
    <row r="340" ht="63.0" customHeight="1">
      <c r="A340" s="10">
        <v>2022.0</v>
      </c>
      <c r="B340" s="10" t="s">
        <v>10</v>
      </c>
      <c r="C340" s="11" t="s">
        <v>11</v>
      </c>
      <c r="D340" s="11" t="s">
        <v>828</v>
      </c>
      <c r="E340" s="17" t="s">
        <v>834</v>
      </c>
      <c r="F340" s="19" t="s">
        <v>835</v>
      </c>
      <c r="G340" s="20">
        <v>1.0</v>
      </c>
      <c r="H340" s="29">
        <v>0.25</v>
      </c>
      <c r="I340" s="20">
        <v>0.25</v>
      </c>
      <c r="J340" s="17" t="s">
        <v>831</v>
      </c>
    </row>
    <row r="341" ht="63.0" customHeight="1">
      <c r="A341" s="10">
        <v>2022.0</v>
      </c>
      <c r="B341" s="10" t="s">
        <v>10</v>
      </c>
      <c r="C341" s="11" t="s">
        <v>11</v>
      </c>
      <c r="D341" s="11" t="s">
        <v>828</v>
      </c>
      <c r="E341" s="17" t="s">
        <v>836</v>
      </c>
      <c r="F341" s="19" t="s">
        <v>835</v>
      </c>
      <c r="G341" s="20">
        <v>1.0</v>
      </c>
      <c r="H341" s="29">
        <v>0.25</v>
      </c>
      <c r="I341" s="12" t="s">
        <v>837</v>
      </c>
      <c r="J341" s="17" t="s">
        <v>831</v>
      </c>
    </row>
    <row r="342" ht="63.0" customHeight="1">
      <c r="A342" s="10">
        <v>2022.0</v>
      </c>
      <c r="B342" s="10" t="s">
        <v>10</v>
      </c>
      <c r="C342" s="11" t="s">
        <v>11</v>
      </c>
      <c r="D342" s="11" t="s">
        <v>828</v>
      </c>
      <c r="E342" s="17" t="s">
        <v>838</v>
      </c>
      <c r="F342" s="19" t="s">
        <v>835</v>
      </c>
      <c r="G342" s="20">
        <v>1.0</v>
      </c>
      <c r="H342" s="29">
        <v>0.25</v>
      </c>
      <c r="I342" s="20">
        <v>0.25</v>
      </c>
      <c r="J342" s="17" t="s">
        <v>831</v>
      </c>
    </row>
    <row r="343" ht="15.75" customHeight="1">
      <c r="A343" s="10">
        <v>2022.0</v>
      </c>
      <c r="B343" s="10" t="s">
        <v>10</v>
      </c>
      <c r="C343" s="11" t="s">
        <v>240</v>
      </c>
      <c r="D343" s="11" t="s">
        <v>839</v>
      </c>
      <c r="E343" s="17" t="s">
        <v>840</v>
      </c>
      <c r="F343" s="17" t="s">
        <v>841</v>
      </c>
      <c r="G343" s="12">
        <v>24.0</v>
      </c>
      <c r="H343" s="12">
        <f>2+2+2</f>
        <v>6</v>
      </c>
      <c r="I343" s="12">
        <f>6+5+24</f>
        <v>35</v>
      </c>
      <c r="J343" s="19" t="s">
        <v>842</v>
      </c>
    </row>
    <row r="344" ht="15.75" customHeight="1">
      <c r="A344" s="10">
        <v>2022.0</v>
      </c>
      <c r="B344" s="10" t="s">
        <v>10</v>
      </c>
      <c r="C344" s="11" t="s">
        <v>843</v>
      </c>
      <c r="D344" s="11" t="s">
        <v>839</v>
      </c>
      <c r="E344" s="17" t="s">
        <v>844</v>
      </c>
      <c r="F344" s="17" t="s">
        <v>845</v>
      </c>
      <c r="G344" s="12">
        <v>2.0</v>
      </c>
      <c r="H344" s="12">
        <f t="shared" ref="H344:I344" si="90">0+0+0</f>
        <v>0</v>
      </c>
      <c r="I344" s="12">
        <f t="shared" si="90"/>
        <v>0</v>
      </c>
      <c r="J344" s="19" t="s">
        <v>842</v>
      </c>
    </row>
    <row r="345" ht="15.75" customHeight="1">
      <c r="A345" s="10">
        <v>2022.0</v>
      </c>
      <c r="B345" s="10" t="s">
        <v>10</v>
      </c>
      <c r="C345" s="11" t="s">
        <v>843</v>
      </c>
      <c r="D345" s="11" t="s">
        <v>839</v>
      </c>
      <c r="E345" s="17" t="s">
        <v>846</v>
      </c>
      <c r="F345" s="17" t="s">
        <v>847</v>
      </c>
      <c r="G345" s="12">
        <v>24.0</v>
      </c>
      <c r="H345" s="12">
        <f>1+1+1</f>
        <v>3</v>
      </c>
      <c r="I345" s="12">
        <f>7+1+3</f>
        <v>11</v>
      </c>
      <c r="J345" s="19" t="s">
        <v>842</v>
      </c>
    </row>
    <row r="346" ht="67.5" customHeight="1">
      <c r="A346" s="10">
        <v>2022.0</v>
      </c>
      <c r="B346" s="10" t="s">
        <v>10</v>
      </c>
      <c r="C346" s="11" t="s">
        <v>843</v>
      </c>
      <c r="D346" s="11" t="s">
        <v>839</v>
      </c>
      <c r="E346" s="17" t="s">
        <v>848</v>
      </c>
      <c r="F346" s="17" t="s">
        <v>849</v>
      </c>
      <c r="G346" s="12">
        <v>1800.0</v>
      </c>
      <c r="H346" s="12">
        <f>150+150+150</f>
        <v>450</v>
      </c>
      <c r="I346" s="12">
        <f>531+932+1063</f>
        <v>2526</v>
      </c>
      <c r="J346" s="19" t="s">
        <v>842</v>
      </c>
    </row>
    <row r="347" ht="67.5" customHeight="1">
      <c r="A347" s="10">
        <v>2022.0</v>
      </c>
      <c r="B347" s="10" t="s">
        <v>10</v>
      </c>
      <c r="C347" s="11" t="s">
        <v>843</v>
      </c>
      <c r="D347" s="11" t="s">
        <v>839</v>
      </c>
      <c r="E347" s="17" t="s">
        <v>850</v>
      </c>
      <c r="F347" s="17" t="s">
        <v>851</v>
      </c>
      <c r="G347" s="12">
        <v>24.0</v>
      </c>
      <c r="H347" s="12">
        <f>2+2+2</f>
        <v>6</v>
      </c>
      <c r="I347" s="12">
        <f>10+15+12</f>
        <v>37</v>
      </c>
      <c r="J347" s="19" t="s">
        <v>842</v>
      </c>
    </row>
    <row r="348" ht="67.5" customHeight="1">
      <c r="A348" s="10">
        <v>2022.0</v>
      </c>
      <c r="B348" s="10" t="s">
        <v>10</v>
      </c>
      <c r="C348" s="11" t="s">
        <v>843</v>
      </c>
      <c r="D348" s="11" t="s">
        <v>852</v>
      </c>
      <c r="E348" s="17" t="s">
        <v>853</v>
      </c>
      <c r="F348" s="17" t="s">
        <v>854</v>
      </c>
      <c r="G348" s="12">
        <v>43.0</v>
      </c>
      <c r="H348" s="12">
        <f>1+4+4</f>
        <v>9</v>
      </c>
      <c r="I348" s="12">
        <f>2+25+41</f>
        <v>68</v>
      </c>
      <c r="J348" s="19" t="s">
        <v>842</v>
      </c>
    </row>
    <row r="349" ht="67.5" customHeight="1">
      <c r="A349" s="10">
        <v>2022.0</v>
      </c>
      <c r="B349" s="10" t="s">
        <v>10</v>
      </c>
      <c r="C349" s="11" t="s">
        <v>843</v>
      </c>
      <c r="D349" s="11" t="s">
        <v>852</v>
      </c>
      <c r="E349" s="17" t="s">
        <v>855</v>
      </c>
      <c r="F349" s="17" t="s">
        <v>856</v>
      </c>
      <c r="G349" s="12">
        <v>13.0</v>
      </c>
      <c r="H349" s="12">
        <f>0+0+0</f>
        <v>0</v>
      </c>
      <c r="I349" s="12">
        <f>2+2+6</f>
        <v>10</v>
      </c>
      <c r="J349" s="19" t="s">
        <v>842</v>
      </c>
    </row>
    <row r="350" ht="67.5" customHeight="1">
      <c r="A350" s="10">
        <v>2022.0</v>
      </c>
      <c r="B350" s="10" t="s">
        <v>10</v>
      </c>
      <c r="C350" s="11" t="s">
        <v>843</v>
      </c>
      <c r="D350" s="11" t="s">
        <v>852</v>
      </c>
      <c r="E350" s="17" t="s">
        <v>857</v>
      </c>
      <c r="F350" s="17" t="s">
        <v>34</v>
      </c>
      <c r="G350" s="12">
        <v>0.0</v>
      </c>
      <c r="H350" s="12">
        <f>1+3+3</f>
        <v>7</v>
      </c>
      <c r="I350" s="12">
        <f>0+5+6</f>
        <v>11</v>
      </c>
      <c r="J350" s="19" t="s">
        <v>842</v>
      </c>
    </row>
    <row r="351" ht="67.5" customHeight="1">
      <c r="A351" s="10">
        <v>2022.0</v>
      </c>
      <c r="B351" s="10" t="s">
        <v>10</v>
      </c>
      <c r="C351" s="11" t="s">
        <v>843</v>
      </c>
      <c r="D351" s="11" t="s">
        <v>852</v>
      </c>
      <c r="E351" s="17" t="s">
        <v>858</v>
      </c>
      <c r="F351" s="17" t="s">
        <v>859</v>
      </c>
      <c r="G351" s="12">
        <v>80.0</v>
      </c>
      <c r="H351" s="12">
        <f>0+8+8</f>
        <v>16</v>
      </c>
      <c r="I351" s="12">
        <f>11+16+14</f>
        <v>41</v>
      </c>
      <c r="J351" s="19" t="s">
        <v>842</v>
      </c>
    </row>
    <row r="352" ht="67.5" customHeight="1">
      <c r="A352" s="10">
        <v>2022.0</v>
      </c>
      <c r="B352" s="10" t="s">
        <v>10</v>
      </c>
      <c r="C352" s="11" t="s">
        <v>843</v>
      </c>
      <c r="D352" s="11" t="s">
        <v>852</v>
      </c>
      <c r="E352" s="19" t="s">
        <v>860</v>
      </c>
      <c r="F352" s="19" t="s">
        <v>861</v>
      </c>
      <c r="G352" s="12">
        <v>10.0</v>
      </c>
      <c r="H352" s="12">
        <f>0+1+1</f>
        <v>2</v>
      </c>
      <c r="I352" s="12">
        <f>0+1+0</f>
        <v>1</v>
      </c>
      <c r="J352" s="19" t="s">
        <v>842</v>
      </c>
    </row>
    <row r="353" ht="15.75" customHeight="1">
      <c r="A353" s="10">
        <v>2022.0</v>
      </c>
      <c r="B353" s="10" t="s">
        <v>10</v>
      </c>
      <c r="C353" s="11" t="s">
        <v>11</v>
      </c>
      <c r="D353" s="11" t="s">
        <v>862</v>
      </c>
      <c r="E353" s="17" t="s">
        <v>863</v>
      </c>
      <c r="F353" s="17" t="s">
        <v>864</v>
      </c>
      <c r="G353" s="12">
        <v>26.0</v>
      </c>
      <c r="H353" s="12">
        <f t="shared" ref="H353:I353" si="91">3+4+4</f>
        <v>11</v>
      </c>
      <c r="I353" s="12">
        <f t="shared" si="91"/>
        <v>11</v>
      </c>
      <c r="J353" s="17" t="s">
        <v>865</v>
      </c>
    </row>
    <row r="354" ht="67.5" customHeight="1">
      <c r="A354" s="10">
        <v>2022.0</v>
      </c>
      <c r="B354" s="10" t="s">
        <v>10</v>
      </c>
      <c r="C354" s="11" t="s">
        <v>11</v>
      </c>
      <c r="D354" s="11" t="s">
        <v>862</v>
      </c>
      <c r="E354" s="17" t="s">
        <v>866</v>
      </c>
      <c r="F354" s="17" t="s">
        <v>867</v>
      </c>
      <c r="G354" s="12">
        <v>13.0</v>
      </c>
      <c r="H354" s="12">
        <f t="shared" ref="H354:I354" si="92">2+2+2</f>
        <v>6</v>
      </c>
      <c r="I354" s="12">
        <f t="shared" si="92"/>
        <v>6</v>
      </c>
      <c r="J354" s="17" t="s">
        <v>865</v>
      </c>
    </row>
    <row r="355" ht="15.75" customHeight="1">
      <c r="A355" s="10">
        <v>2022.0</v>
      </c>
      <c r="B355" s="10" t="s">
        <v>10</v>
      </c>
      <c r="C355" s="11" t="s">
        <v>11</v>
      </c>
      <c r="D355" s="11" t="s">
        <v>862</v>
      </c>
      <c r="E355" s="17" t="s">
        <v>868</v>
      </c>
      <c r="F355" s="19" t="s">
        <v>869</v>
      </c>
      <c r="G355" s="12">
        <v>0.0</v>
      </c>
      <c r="H355" s="12">
        <f t="shared" ref="H355:I355" si="93">3+4+4</f>
        <v>11</v>
      </c>
      <c r="I355" s="12">
        <f t="shared" si="93"/>
        <v>11</v>
      </c>
      <c r="J355" s="17" t="s">
        <v>865</v>
      </c>
    </row>
    <row r="356" ht="15.75" customHeight="1">
      <c r="A356" s="10">
        <v>2022.0</v>
      </c>
      <c r="B356" s="10" t="s">
        <v>10</v>
      </c>
      <c r="C356" s="11" t="s">
        <v>11</v>
      </c>
      <c r="D356" s="11" t="s">
        <v>870</v>
      </c>
      <c r="E356" s="17" t="s">
        <v>871</v>
      </c>
      <c r="F356" s="17" t="s">
        <v>872</v>
      </c>
      <c r="G356" s="12">
        <v>135.0</v>
      </c>
      <c r="H356" s="12">
        <f>40+40+40</f>
        <v>120</v>
      </c>
      <c r="I356" s="12">
        <f>0+0+50</f>
        <v>50</v>
      </c>
      <c r="J356" s="17" t="s">
        <v>865</v>
      </c>
    </row>
    <row r="357" ht="15.75" customHeight="1">
      <c r="A357" s="10">
        <v>2022.0</v>
      </c>
      <c r="B357" s="10" t="s">
        <v>10</v>
      </c>
      <c r="C357" s="11" t="s">
        <v>31</v>
      </c>
      <c r="D357" s="11" t="s">
        <v>870</v>
      </c>
      <c r="E357" s="17" t="s">
        <v>873</v>
      </c>
      <c r="F357" s="17" t="s">
        <v>178</v>
      </c>
      <c r="G357" s="12">
        <v>21.0</v>
      </c>
      <c r="H357" s="12">
        <f>0+21+0</f>
        <v>21</v>
      </c>
      <c r="I357" s="12">
        <f>0+0+60</f>
        <v>60</v>
      </c>
      <c r="J357" s="17" t="s">
        <v>865</v>
      </c>
    </row>
    <row r="358" ht="15.75" customHeight="1">
      <c r="A358" s="10">
        <v>2022.0</v>
      </c>
      <c r="B358" s="10" t="s">
        <v>10</v>
      </c>
      <c r="C358" s="11" t="s">
        <v>31</v>
      </c>
      <c r="D358" s="11" t="s">
        <v>874</v>
      </c>
      <c r="E358" s="17" t="s">
        <v>875</v>
      </c>
      <c r="F358" s="17" t="s">
        <v>876</v>
      </c>
      <c r="G358" s="12">
        <v>3300.0</v>
      </c>
      <c r="H358" s="12">
        <f>300+300+300</f>
        <v>900</v>
      </c>
      <c r="I358" s="12">
        <f>281+334+293</f>
        <v>908</v>
      </c>
      <c r="J358" s="17" t="s">
        <v>865</v>
      </c>
    </row>
    <row r="359" ht="15.75" customHeight="1">
      <c r="A359" s="10">
        <v>2022.0</v>
      </c>
      <c r="B359" s="10" t="s">
        <v>10</v>
      </c>
      <c r="C359" s="11" t="s">
        <v>31</v>
      </c>
      <c r="D359" s="11" t="s">
        <v>874</v>
      </c>
      <c r="E359" s="11" t="s">
        <v>877</v>
      </c>
      <c r="F359" s="11" t="s">
        <v>878</v>
      </c>
      <c r="G359" s="12">
        <v>350.0</v>
      </c>
      <c r="H359" s="12">
        <f>0+50+100</f>
        <v>150</v>
      </c>
      <c r="I359" s="12">
        <f>0+0+0</f>
        <v>0</v>
      </c>
      <c r="J359" s="17" t="s">
        <v>865</v>
      </c>
    </row>
    <row r="360" ht="67.5" customHeight="1">
      <c r="A360" s="10">
        <v>2022.0</v>
      </c>
      <c r="B360" s="10" t="s">
        <v>10</v>
      </c>
      <c r="C360" s="11" t="s">
        <v>31</v>
      </c>
      <c r="D360" s="11" t="s">
        <v>879</v>
      </c>
      <c r="E360" s="11" t="s">
        <v>880</v>
      </c>
      <c r="F360" s="11" t="s">
        <v>881</v>
      </c>
      <c r="G360" s="12">
        <v>0.0</v>
      </c>
      <c r="H360" s="12">
        <f t="shared" ref="H360:I360" si="94">5+0+0</f>
        <v>5</v>
      </c>
      <c r="I360" s="12">
        <f t="shared" si="94"/>
        <v>5</v>
      </c>
      <c r="J360" s="17" t="s">
        <v>865</v>
      </c>
    </row>
    <row r="361" ht="67.5" customHeight="1">
      <c r="A361" s="10">
        <v>2022.0</v>
      </c>
      <c r="B361" s="10" t="s">
        <v>10</v>
      </c>
      <c r="C361" s="11" t="s">
        <v>31</v>
      </c>
      <c r="D361" s="11" t="s">
        <v>879</v>
      </c>
      <c r="E361" s="11" t="s">
        <v>882</v>
      </c>
      <c r="F361" s="11" t="s">
        <v>883</v>
      </c>
      <c r="G361" s="12">
        <v>0.0</v>
      </c>
      <c r="H361" s="12">
        <f t="shared" ref="H361:I361" si="95">0+0+4</f>
        <v>4</v>
      </c>
      <c r="I361" s="12">
        <f t="shared" si="95"/>
        <v>4</v>
      </c>
      <c r="J361" s="17" t="s">
        <v>865</v>
      </c>
    </row>
  </sheetData>
  <printOptions horizontalCentered="1"/>
  <pageMargins bottom="0.19685039370078738" footer="0.0" header="0.0" left="0.19685039370078738" right="0.19685039370078738" top="0.19685039370078738"/>
  <pageSetup scale="4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2018-05-08T15:10:45Z</dcterms:created>
  <dc:creator>ALEJANDRO ARTURO DOMÍNGUEZ MONROY</dc:creator>
</cp:coreProperties>
</file>